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etterCodger_Site\images\"/>
    </mc:Choice>
  </mc:AlternateContent>
  <bookViews>
    <workbookView xWindow="120" yWindow="45" windowWidth="19020" windowHeight="9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Sheet1!$A$1:$AF$34</definedName>
    <definedName name="_xlnm.Print_Titles" localSheetId="0">Sheet1!$A:$A</definedName>
  </definedNames>
  <calcPr calcId="171027"/>
</workbook>
</file>

<file path=xl/calcChain.xml><?xml version="1.0" encoding="utf-8"?>
<calcChain xmlns="http://schemas.openxmlformats.org/spreadsheetml/2006/main">
  <c r="AD19" i="1" l="1"/>
  <c r="AD6" i="1"/>
  <c r="AD5" i="1"/>
  <c r="AD4" i="1"/>
  <c r="AD3" i="1"/>
  <c r="AC19" i="1"/>
  <c r="AC6" i="1"/>
  <c r="AC5" i="1"/>
  <c r="AC4" i="1"/>
  <c r="AC3" i="1"/>
  <c r="AB19" i="1"/>
  <c r="AB6" i="1"/>
  <c r="AB5" i="1"/>
  <c r="AB4" i="1"/>
  <c r="AB3" i="1"/>
  <c r="AA19" i="1"/>
  <c r="AA6" i="1"/>
  <c r="AA5" i="1"/>
  <c r="AA4" i="1"/>
  <c r="AA3" i="1"/>
  <c r="Z19" i="1"/>
  <c r="Z6" i="1"/>
  <c r="Z5" i="1"/>
  <c r="Z4" i="1"/>
  <c r="Z3" i="1"/>
  <c r="Y19" i="1"/>
  <c r="Y6" i="1"/>
  <c r="Y5" i="1"/>
  <c r="Y4" i="1"/>
  <c r="Y3" i="1"/>
  <c r="X6" i="1"/>
  <c r="X5" i="1"/>
  <c r="X4" i="1"/>
  <c r="X3" i="1"/>
  <c r="W19" i="1"/>
  <c r="W6" i="1"/>
  <c r="W5" i="1"/>
  <c r="W4" i="1"/>
  <c r="W3" i="1"/>
  <c r="V19" i="1"/>
  <c r="V6" i="1"/>
  <c r="V5" i="1"/>
  <c r="V3" i="1"/>
  <c r="U19" i="1"/>
  <c r="X19" i="1"/>
  <c r="U6" i="1"/>
  <c r="U5" i="1"/>
  <c r="U3" i="1"/>
  <c r="S19" i="1"/>
  <c r="R19" i="1"/>
  <c r="S6" i="1"/>
  <c r="R6" i="1"/>
  <c r="S5" i="1"/>
  <c r="R5" i="1"/>
  <c r="S4" i="1"/>
  <c r="R4" i="1"/>
  <c r="S3" i="1"/>
  <c r="R3" i="1"/>
  <c r="Q19" i="1"/>
  <c r="Q6" i="1"/>
  <c r="Q5" i="1"/>
  <c r="Q4" i="1"/>
  <c r="Q3" i="1"/>
  <c r="N24" i="1"/>
  <c r="N19" i="1"/>
  <c r="M19" i="1"/>
  <c r="K19" i="1"/>
  <c r="N6" i="1"/>
  <c r="N5" i="1"/>
  <c r="N4" i="1"/>
  <c r="N3" i="1"/>
  <c r="M6" i="1"/>
  <c r="M5" i="1"/>
  <c r="M4" i="1"/>
  <c r="M3" i="1"/>
  <c r="K5" i="1"/>
  <c r="K6" i="1"/>
  <c r="K4" i="1"/>
  <c r="K3" i="1"/>
  <c r="H19" i="1"/>
  <c r="D19" i="1"/>
  <c r="C19" i="1"/>
  <c r="B19" i="1"/>
  <c r="H6" i="1"/>
  <c r="H5" i="1"/>
  <c r="D6" i="1"/>
  <c r="D5" i="1"/>
  <c r="C6" i="1"/>
  <c r="C5" i="1"/>
  <c r="B6" i="1"/>
  <c r="B5" i="1"/>
  <c r="H4" i="1"/>
  <c r="H3" i="1"/>
  <c r="D4" i="1"/>
  <c r="D3" i="1"/>
  <c r="C4" i="1"/>
  <c r="C3" i="1"/>
  <c r="B4" i="1"/>
  <c r="B3" i="1"/>
  <c r="AE33" i="1"/>
  <c r="A48" i="1"/>
  <c r="A38" i="1"/>
  <c r="A39" i="1"/>
  <c r="A46" i="1"/>
  <c r="A43" i="1"/>
  <c r="A44" i="1"/>
  <c r="A57" i="1"/>
  <c r="A58" i="1"/>
  <c r="A55" i="1"/>
  <c r="A56" i="1"/>
  <c r="A49" i="1"/>
  <c r="A41" i="1"/>
  <c r="A42" i="1"/>
  <c r="A37" i="1"/>
  <c r="A61" i="1"/>
  <c r="A50" i="1"/>
  <c r="A54" i="1"/>
  <c r="A51" i="1"/>
  <c r="A59" i="1"/>
  <c r="A45" i="1"/>
  <c r="A60" i="1"/>
  <c r="A47" i="1"/>
  <c r="A40" i="1"/>
  <c r="A53" i="1"/>
  <c r="A52" i="1"/>
  <c r="O19" i="1"/>
  <c r="T19" i="1"/>
  <c r="T6" i="1"/>
  <c r="T5" i="1"/>
  <c r="T3" i="1"/>
  <c r="L19" i="1"/>
  <c r="L6" i="1"/>
  <c r="L5" i="1"/>
  <c r="L4" i="1"/>
  <c r="L3" i="1"/>
  <c r="E1" i="1"/>
  <c r="P19" i="1"/>
  <c r="J19" i="1"/>
  <c r="I19" i="1"/>
  <c r="G19" i="1"/>
  <c r="F19" i="1"/>
  <c r="E19" i="1"/>
  <c r="J6" i="1"/>
  <c r="J5" i="1"/>
  <c r="I6" i="1"/>
  <c r="I5" i="1"/>
  <c r="G6" i="1"/>
  <c r="G5" i="1"/>
  <c r="F6" i="1"/>
  <c r="F5" i="1"/>
  <c r="E6" i="1"/>
  <c r="E5" i="1"/>
  <c r="J4" i="1"/>
  <c r="I4" i="1"/>
  <c r="G4" i="1"/>
  <c r="F4" i="1"/>
  <c r="E4" i="1"/>
  <c r="J3" i="1"/>
  <c r="I3" i="1"/>
  <c r="G3" i="1"/>
  <c r="F3" i="1"/>
  <c r="E3" i="1"/>
  <c r="AE34" i="1"/>
  <c r="AF34" i="1"/>
</calcChain>
</file>

<file path=xl/sharedStrings.xml><?xml version="1.0" encoding="utf-8"?>
<sst xmlns="http://schemas.openxmlformats.org/spreadsheetml/2006/main" count="636" uniqueCount="232">
  <si>
    <t>Plant Variety Data: Nicotiana tabacum</t>
  </si>
  <si>
    <t>Year:</t>
  </si>
  <si>
    <t>updated:</t>
  </si>
  <si>
    <t>FL Sumatra</t>
  </si>
  <si>
    <r>
      <rPr>
        <b/>
        <sz val="10"/>
        <color indexed="8"/>
        <rFont val="Arial"/>
        <family val="2"/>
      </rPr>
      <t>Plant length Untopped</t>
    </r>
    <r>
      <rPr>
        <sz val="10"/>
        <color theme="1"/>
        <rFont val="Arial"/>
        <family val="2"/>
      </rPr>
      <t xml:space="preserve"> (to crowfoot) - cm/in</t>
    </r>
  </si>
  <si>
    <r>
      <rPr>
        <b/>
        <sz val="10"/>
        <color indexed="8"/>
        <rFont val="Arial"/>
        <family val="2"/>
      </rPr>
      <t>Leaf length</t>
    </r>
    <r>
      <rPr>
        <b/>
        <sz val="10"/>
        <color indexed="8"/>
        <rFont val="Arial"/>
        <family val="2"/>
      </rPr>
      <t xml:space="preserve"> (length of 10th leaf from bottom, at maturity) - cm/in</t>
    </r>
  </si>
  <si>
    <r>
      <rPr>
        <b/>
        <sz val="10"/>
        <color indexed="8"/>
        <rFont val="Arial"/>
        <family val="2"/>
      </rPr>
      <t>Leaf width</t>
    </r>
    <r>
      <rPr>
        <b/>
        <sz val="10"/>
        <color indexed="8"/>
        <rFont val="Arial"/>
        <family val="2"/>
      </rPr>
      <t xml:space="preserve"> (width of 10th leaf from bottom, at maturity) - cm/in</t>
    </r>
  </si>
  <si>
    <r>
      <rPr>
        <b/>
        <sz val="10"/>
        <color indexed="8"/>
        <rFont val="Arial"/>
        <family val="2"/>
      </rPr>
      <t>Leaf number topped</t>
    </r>
    <r>
      <rPr>
        <b/>
        <sz val="10"/>
        <color indexed="8"/>
        <rFont val="Arial"/>
        <family val="2"/>
      </rPr>
      <t xml:space="preserve"> (exclude 2 bed leaves)</t>
    </r>
  </si>
  <si>
    <r>
      <rPr>
        <b/>
        <sz val="10"/>
        <color indexed="8"/>
        <rFont val="Arial"/>
        <family val="2"/>
      </rPr>
      <t>Plant form</t>
    </r>
    <r>
      <rPr>
        <sz val="10"/>
        <color theme="1"/>
        <rFont val="Arial"/>
        <family val="2"/>
      </rPr>
      <t xml:space="preserve"> (pyramidal, columnar, inverted cone, other)</t>
    </r>
  </si>
  <si>
    <r>
      <rPr>
        <b/>
        <sz val="10"/>
        <color indexed="8"/>
        <rFont val="Arial"/>
        <family val="2"/>
      </rPr>
      <t>Flower color</t>
    </r>
    <r>
      <rPr>
        <sz val="10"/>
        <color theme="1"/>
        <rFont val="Arial"/>
        <family val="2"/>
      </rPr>
      <t xml:space="preserve"> (white, pink, red, other)</t>
    </r>
  </si>
  <si>
    <r>
      <rPr>
        <b/>
        <sz val="10"/>
        <color indexed="8"/>
        <rFont val="Arial"/>
        <family val="2"/>
      </rPr>
      <t>Flower head habit</t>
    </r>
    <r>
      <rPr>
        <sz val="10"/>
        <color theme="1"/>
        <rFont val="Arial"/>
        <family val="2"/>
      </rPr>
      <t xml:space="preserve"> (closed, intermediate, open)</t>
    </r>
  </si>
  <si>
    <r>
      <rPr>
        <b/>
        <sz val="10"/>
        <color indexed="8"/>
        <rFont val="Arial"/>
        <family val="2"/>
      </rPr>
      <t>Leaf attachment</t>
    </r>
    <r>
      <rPr>
        <sz val="10"/>
        <color theme="1"/>
        <rFont val="Arial"/>
        <family val="2"/>
      </rPr>
      <t xml:space="preserve"> (sessile, petiolate)</t>
    </r>
  </si>
  <si>
    <r>
      <rPr>
        <b/>
        <sz val="10"/>
        <color indexed="8"/>
        <rFont val="Arial"/>
        <family val="2"/>
      </rPr>
      <t>Leaf carriage of midrib</t>
    </r>
    <r>
      <rPr>
        <sz val="10"/>
        <color theme="1"/>
        <rFont val="Arial"/>
        <family val="2"/>
      </rPr>
      <t xml:space="preserve"> (arched, not arched)</t>
    </r>
  </si>
  <si>
    <r>
      <rPr>
        <b/>
        <sz val="10"/>
        <color indexed="8"/>
        <rFont val="Arial"/>
        <family val="2"/>
      </rPr>
      <t>Leaf color</t>
    </r>
    <r>
      <rPr>
        <sz val="10"/>
        <color theme="1"/>
        <rFont val="Arial"/>
        <family val="2"/>
      </rPr>
      <t xml:space="preserve"> (light green, green, dark green)</t>
    </r>
  </si>
  <si>
    <r>
      <rPr>
        <b/>
        <sz val="10"/>
        <color indexed="8"/>
        <rFont val="Arial"/>
        <family val="2"/>
      </rPr>
      <t>Leaf margin</t>
    </r>
    <r>
      <rPr>
        <sz val="10"/>
        <color theme="1"/>
        <rFont val="Arial"/>
        <family val="2"/>
      </rPr>
      <t xml:space="preserve"> (wavy, not wavy)</t>
    </r>
  </si>
  <si>
    <r>
      <rPr>
        <b/>
        <sz val="10"/>
        <color indexed="8"/>
        <rFont val="Arial"/>
        <family val="2"/>
      </rPr>
      <t>Leaf angle</t>
    </r>
    <r>
      <rPr>
        <sz val="10"/>
        <color theme="1"/>
        <rFont val="Arial"/>
        <family val="2"/>
      </rPr>
      <t xml:space="preserve"> (upper angle between stalk and 10th leaf) - degrees</t>
    </r>
  </si>
  <si>
    <r>
      <rPr>
        <b/>
        <sz val="10"/>
        <color indexed="8"/>
        <rFont val="Arial"/>
        <family val="2"/>
      </rPr>
      <t>Leaf margin</t>
    </r>
    <r>
      <rPr>
        <sz val="10"/>
        <color theme="1"/>
        <rFont val="Arial"/>
        <family val="2"/>
      </rPr>
      <t xml:space="preserve"> (recurved, not recurved)</t>
    </r>
  </si>
  <si>
    <r>
      <rPr>
        <b/>
        <sz val="10"/>
        <color indexed="8"/>
        <rFont val="Arial"/>
        <family val="2"/>
      </rPr>
      <t>Leaf surface</t>
    </r>
    <r>
      <rPr>
        <sz val="10"/>
        <color theme="1"/>
        <rFont val="Arial"/>
        <family val="2"/>
      </rPr>
      <t xml:space="preserve"> (smooth, puckered)</t>
    </r>
  </si>
  <si>
    <r>
      <rPr>
        <b/>
        <sz val="10"/>
        <color indexed="8"/>
        <rFont val="Arial"/>
        <family val="2"/>
      </rPr>
      <t>Tip shape</t>
    </r>
    <r>
      <rPr>
        <sz val="10"/>
        <color theme="1"/>
        <rFont val="Arial"/>
        <family val="2"/>
      </rPr>
      <t xml:space="preserve"> (e.g. acute, acuminate, obtuse.)</t>
    </r>
  </si>
  <si>
    <r>
      <rPr>
        <b/>
        <sz val="10"/>
        <color indexed="8"/>
        <rFont val="Arial"/>
        <family val="2"/>
      </rPr>
      <t>Venation patern</t>
    </r>
    <r>
      <rPr>
        <sz val="10"/>
        <color theme="1"/>
        <rFont val="Arial"/>
        <family val="2"/>
      </rPr>
      <t xml:space="preserve"> (square, angular)</t>
    </r>
  </si>
  <si>
    <r>
      <rPr>
        <b/>
        <sz val="10"/>
        <color indexed="8"/>
        <rFont val="Arial"/>
        <family val="2"/>
      </rPr>
      <t>Yield</t>
    </r>
    <r>
      <rPr>
        <sz val="10"/>
        <color theme="1"/>
        <rFont val="Arial"/>
        <family val="2"/>
      </rPr>
      <t xml:space="preserve"> (cured weight) - grams per plant/lbs</t>
    </r>
  </si>
  <si>
    <r>
      <t>*Spacing</t>
    </r>
    <r>
      <rPr>
        <sz val="10"/>
        <color theme="1"/>
        <rFont val="Arial"/>
        <family val="2"/>
      </rPr>
      <t xml:space="preserve"> - sq. ft. per plant</t>
    </r>
  </si>
  <si>
    <t>*Air Cured Color (leaf)</t>
  </si>
  <si>
    <t>*Air Cured Character</t>
  </si>
  <si>
    <t>Harrow Velvet</t>
  </si>
  <si>
    <t>VA Bright</t>
  </si>
  <si>
    <t>Macchu Picchu</t>
  </si>
  <si>
    <r>
      <t xml:space="preserve">*Wt. Dried Seed </t>
    </r>
    <r>
      <rPr>
        <sz val="10"/>
        <color theme="1"/>
        <rFont val="Arial"/>
        <family val="2"/>
      </rPr>
      <t>- g/oz per plant</t>
    </r>
  </si>
  <si>
    <t>PA Red</t>
  </si>
  <si>
    <t>Little Dutch</t>
  </si>
  <si>
    <t>all untopped</t>
  </si>
  <si>
    <t>20</t>
  </si>
  <si>
    <t>25</t>
  </si>
  <si>
    <t>18</t>
  </si>
  <si>
    <t>pyramidal</t>
  </si>
  <si>
    <t>open</t>
  </si>
  <si>
    <t>sessile</t>
  </si>
  <si>
    <t>arched</t>
  </si>
  <si>
    <t>green</t>
  </si>
  <si>
    <t>wavy</t>
  </si>
  <si>
    <t>45º</t>
  </si>
  <si>
    <t>puckered</t>
  </si>
  <si>
    <t>acute</t>
  </si>
  <si>
    <t>angular</t>
  </si>
  <si>
    <t>pink</t>
  </si>
  <si>
    <t>lt green</t>
  </si>
  <si>
    <t>30º</t>
  </si>
  <si>
    <t>smooth</t>
  </si>
  <si>
    <t>square</t>
  </si>
  <si>
    <t>3.75</t>
  </si>
  <si>
    <t>loose wave</t>
  </si>
  <si>
    <t>acuminate</t>
  </si>
  <si>
    <t>35º</t>
  </si>
  <si>
    <r>
      <rPr>
        <b/>
        <sz val="10"/>
        <color indexed="8"/>
        <rFont val="Arial"/>
        <family val="2"/>
      </rPr>
      <t>Stalk diameter</t>
    </r>
    <r>
      <rPr>
        <sz val="10"/>
        <color theme="1"/>
        <rFont val="Arial"/>
        <family val="2"/>
      </rPr>
      <t xml:space="preserve"> - cm/in</t>
    </r>
  </si>
  <si>
    <t>loose desc</t>
  </si>
  <si>
    <t>50º</t>
  </si>
  <si>
    <t>tight wave w/ desc</t>
  </si>
  <si>
    <t>columnar</t>
  </si>
  <si>
    <r>
      <t>Days at maturity (transplant to 50% plants 1 flower)</t>
    </r>
    <r>
      <rPr>
        <b/>
        <sz val="8"/>
        <color indexed="8"/>
        <rFont val="Arial"/>
        <family val="2"/>
      </rPr>
      <t>§</t>
    </r>
  </si>
  <si>
    <t>wavy full descend</t>
  </si>
  <si>
    <t>dk green</t>
  </si>
  <si>
    <t>m brown</t>
  </si>
  <si>
    <t>medium red brown</t>
  </si>
  <si>
    <t>New Hope. BURLEY. Color cures easily. Stalk harvested.
Renewed seed.</t>
  </si>
  <si>
    <t>New Hope. VA. FLUE. Flue-cures to a lemon yellow.
Renewed seed.</t>
  </si>
  <si>
    <t>New Hope. FL. WRAPPER.
Renewed seed.</t>
  </si>
  <si>
    <t>ARS-GRIN
PI 116159 Peru. (1936). WRAPPER.
Renewed seed.</t>
  </si>
  <si>
    <t>Nicotiana Project. PA. Pi 552741.
FILLER.
Renewed seed.</t>
  </si>
  <si>
    <t>Seedman. FILLER.
Renewed seed.</t>
  </si>
  <si>
    <r>
      <t>*non-GRIN data field                                                         *</t>
    </r>
    <r>
      <rPr>
        <b/>
        <sz val="8"/>
        <color indexed="8"/>
        <rFont val="Arial"/>
        <family val="2"/>
      </rPr>
      <t>Goff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- general Habitus:</t>
    </r>
  </si>
  <si>
    <t>Vuelta Abajo</t>
  </si>
  <si>
    <t>deep brown</t>
  </si>
  <si>
    <t>saved seed sent</t>
  </si>
  <si>
    <t>Plant length Topped - cm/in</t>
  </si>
  <si>
    <t>Prilep P66-9/7</t>
  </si>
  <si>
    <t>transplant date</t>
  </si>
  <si>
    <t>germination start date [bb=BigBonner float-grown]</t>
  </si>
  <si>
    <t>1.88</t>
  </si>
  <si>
    <t>2014</t>
  </si>
  <si>
    <t>Magnolia</t>
  </si>
  <si>
    <t>Metacomet</t>
  </si>
  <si>
    <t>Timor</t>
  </si>
  <si>
    <t>Long Red</t>
  </si>
  <si>
    <t>Amarillo Parado</t>
  </si>
  <si>
    <t>PA Swarr-Hibshman (NP)</t>
  </si>
  <si>
    <t>PA Swarr-Hibshman (GRIN)</t>
  </si>
  <si>
    <t>Swarr-Hibshman (GRIN)</t>
  </si>
  <si>
    <t>CT Broadleaf</t>
  </si>
  <si>
    <t>Djebel 174</t>
  </si>
  <si>
    <t>Colombian Garcia</t>
  </si>
  <si>
    <r>
      <t xml:space="preserve">*Variety Comment
</t>
    </r>
    <r>
      <rPr>
        <sz val="10"/>
        <color theme="1"/>
        <rFont val="Arial"/>
        <family val="2"/>
      </rPr>
      <t>§Maturity: trans date: bagging date + 6 = est days at maturity</t>
    </r>
    <r>
      <rPr>
        <b/>
        <sz val="10"/>
        <color indexed="8"/>
        <rFont val="Arial"/>
        <family val="2"/>
      </rPr>
      <t xml:space="preserve">
Seed Source</t>
    </r>
    <r>
      <rPr>
        <sz val="10"/>
        <color theme="1"/>
        <rFont val="Arial"/>
        <family val="2"/>
      </rPr>
      <t>:
(Seedman) = www.seedman.com
(New Hope) = www.newhopeseed.com
(Don Carey) = www.fairtradetobacco.com {FmGrowit}
(ARS-GRIN) = www.ars-grin.gov [NCSU]
(John Ashworth) = www.fairtradetobacco.com {johnlee1933}
(Rex Magoon) = www.howtogrowtobacco.com {oldvermonter}
(Nicotiana Project) Doug Moats = www.nicotianaproject.net
Kemp = Wallace Kemp 
1st hornworm eggs 
2nd wave 
small hornworm                                                               leaf photo:</t>
    </r>
  </si>
  <si>
    <t>Hacienda del Cura</t>
  </si>
  <si>
    <t>16</t>
  </si>
  <si>
    <t>24</t>
  </si>
  <si>
    <t>lt. green</t>
  </si>
  <si>
    <t>loose wave 1/2 desc</t>
  </si>
  <si>
    <t>dull med brown</t>
  </si>
  <si>
    <t>rubbery, thick</t>
  </si>
  <si>
    <t xml:space="preserve">jitterbugdude
</t>
  </si>
  <si>
    <t>closed</t>
  </si>
  <si>
    <t>55º</t>
  </si>
  <si>
    <t>open ruffle full desc</t>
  </si>
  <si>
    <t>lt golden brown</t>
  </si>
  <si>
    <t>aromatic</t>
  </si>
  <si>
    <t>[rainmax]
Prilep Institute,
Prilep, Macedonia
bagged 7/16/13
v close nodes.
Blossoms nearly white.
Excellent flue-cured
few suckers
Sun-cures to yellow-red</t>
  </si>
  <si>
    <t>145/57</t>
  </si>
  <si>
    <t>109/43</t>
  </si>
  <si>
    <t>74/29</t>
  </si>
  <si>
    <t>38/15</t>
  </si>
  <si>
    <t>15</t>
  </si>
  <si>
    <t>not wavy</t>
  </si>
  <si>
    <t>60º</t>
  </si>
  <si>
    <t>not recurved</t>
  </si>
  <si>
    <t>open ruffle, descend</t>
  </si>
  <si>
    <t>CONNECTICUT
Good germinate. Good internode spacing.
(New Hope)</t>
  </si>
  <si>
    <t>107/42</t>
  </si>
  <si>
    <t>81/32</t>
  </si>
  <si>
    <t>80/31.5</t>
  </si>
  <si>
    <t>28/11</t>
  </si>
  <si>
    <t>52</t>
  </si>
  <si>
    <t>plant</t>
  </si>
  <si>
    <t>start</t>
  </si>
  <si>
    <t>Variety</t>
  </si>
  <si>
    <t>Cyprus Latakia mw</t>
  </si>
  <si>
    <t>Cyprus Oriental mw</t>
  </si>
  <si>
    <t>Chichicaste (712)</t>
  </si>
  <si>
    <t>Brasil Dunkel</t>
  </si>
  <si>
    <t>Java Bezuki</t>
  </si>
  <si>
    <t>Dominican Olor</t>
  </si>
  <si>
    <t>PR Olor (1542)</t>
  </si>
  <si>
    <t>PR Olor (1377)</t>
  </si>
  <si>
    <t>Selecion Olor (1543)</t>
  </si>
  <si>
    <t>31</t>
  </si>
  <si>
    <t>33</t>
  </si>
  <si>
    <t>42</t>
  </si>
  <si>
    <t>30</t>
  </si>
  <si>
    <t>5/15/14</t>
  </si>
  <si>
    <t>NP
WRAPPER
bagged 7/25/14</t>
  </si>
  <si>
    <t>Kemp
PI 405659     wrapper   Java/Indonesia   acquired from GRIN
bagged 8/9/14</t>
  </si>
  <si>
    <t>5/27/14</t>
  </si>
  <si>
    <t>5/15:8/11=88</t>
  </si>
  <si>
    <t>5/15:7/31=76</t>
  </si>
  <si>
    <t>5/15:10/4=142!</t>
  </si>
  <si>
    <t>5/27:8/9=74</t>
  </si>
  <si>
    <t>lt. pink</t>
  </si>
  <si>
    <t>70º</t>
  </si>
  <si>
    <t>75º</t>
  </si>
  <si>
    <t>80º</t>
  </si>
  <si>
    <t>puckerd</t>
  </si>
  <si>
    <t>ruffled assym desc</t>
  </si>
  <si>
    <t>wavy semi desc</t>
  </si>
  <si>
    <t>nearly straight semi</t>
  </si>
  <si>
    <t>flat wavy descend</t>
  </si>
  <si>
    <t>3/9/14</t>
  </si>
  <si>
    <t>3/12/14</t>
  </si>
  <si>
    <t>Kemp
PI 405672 filler acquired from GRIN
bagged 9/28/14!
Very slow growth with late growth spurt.
Late to bud.</t>
  </si>
  <si>
    <t>Spanish leaf</t>
  </si>
  <si>
    <t>5/22/14</t>
  </si>
  <si>
    <t>5/13/14</t>
  </si>
  <si>
    <t>NP
WRAPPER
bagged 8/5/14
circular leaf shape</t>
  </si>
  <si>
    <t>26</t>
  </si>
  <si>
    <t>29</t>
  </si>
  <si>
    <t>5/21/14</t>
  </si>
  <si>
    <t>NP
Beautiful, huge leaves.
Bagged 7/20/14</t>
  </si>
  <si>
    <t>Kemp
PI 377898 filler Dom. Rep. acquired from GRIN
lower leaves held well upright.
Bagged 8/16/14</t>
  </si>
  <si>
    <t>Markw, collected in Cyprus fall, 2013
back bed, slow growth.  High seedling mortality.
Leaf shape spade-like, without heart indent.
Bagged 8/21/14</t>
  </si>
  <si>
    <t>5/13:7/26=74</t>
  </si>
  <si>
    <t>5/21:8/22=93</t>
  </si>
  <si>
    <t>5/13:8/27=106</t>
  </si>
  <si>
    <t>not arched</t>
  </si>
  <si>
    <t>loose wave, desc</t>
  </si>
  <si>
    <t>min. straight desc</t>
  </si>
  <si>
    <t>petiolate (spade)</t>
  </si>
  <si>
    <t>~bare petiole no desc</t>
  </si>
  <si>
    <t>sun-cure: red-yellow</t>
  </si>
  <si>
    <t>sun-cure: thin</t>
  </si>
  <si>
    <t>23</t>
  </si>
  <si>
    <t>5/26/14</t>
  </si>
  <si>
    <t xml:space="preserve">GRIN Pi 552733 (TC 120)
COMPARISON 2
Filler
bagged 7/28/14
</t>
  </si>
  <si>
    <t>GRIN Pi 552406 (TC132)
COMPARISON 3
Filler
bagged 7/30/14</t>
  </si>
  <si>
    <t>slight wave</t>
  </si>
  <si>
    <t>5/22:7/21=60</t>
  </si>
  <si>
    <t>5/26:8/3=68</t>
  </si>
  <si>
    <t>5/26:8/5=70</t>
  </si>
  <si>
    <t>Nicotiana Project
COMPARISON 1
Filler
Once mature, all Swarr-Hibshman appear to be the same.  Slight difference in maturation days, but small numbers of plants.
Bagged 7/15/14
This and comparison 2 are almost certainly from the same GRIN Pi.</t>
  </si>
  <si>
    <t>5/28/14</t>
  </si>
  <si>
    <t>5/16/14</t>
  </si>
  <si>
    <t>no desc</t>
  </si>
  <si>
    <t>Kemp
PI 321709 Oriental Bulgaria acquired from GRIN
bagged 8/30/14</t>
  </si>
  <si>
    <t>vigorous, Samsun type.  Sun-cures easily.  Also flue-cures well.
Bagged 7/13/14</t>
  </si>
  <si>
    <t>Kemp
filler Canary Islands acquired from Spain, ebay.
Floppy upper stalk.  Suckers aggressively.
Bagged 7/25/14</t>
  </si>
  <si>
    <t>Pi 116087 (Ti 712)
Honduras.
From Markw
Tall, vigorous, somewhat rank.
bagged 7/9/14</t>
  </si>
  <si>
    <t>from Tabakanbau
via Kemp
variable phenotypes, one like white-stem burley, another in between.
Bagged 7/20/14</t>
  </si>
  <si>
    <t>5/28:9/5=97</t>
  </si>
  <si>
    <t>5/16:7/19=61</t>
  </si>
  <si>
    <t>intermediate</t>
  </si>
  <si>
    <t>petiolate (heart-shape)</t>
  </si>
  <si>
    <t>sl ruffle, desc 3/4</t>
  </si>
  <si>
    <t>5/22:7/31=70</t>
  </si>
  <si>
    <t>straight desc</t>
  </si>
  <si>
    <t>19</t>
  </si>
  <si>
    <t>5/16:7/15=60</t>
  </si>
  <si>
    <t>pink (vermillion)</t>
  </si>
  <si>
    <t>wavy 1/2 desc</t>
  </si>
  <si>
    <t>5/27:7/26=60</t>
  </si>
  <si>
    <t>40º</t>
  </si>
  <si>
    <t>flat, no desc</t>
  </si>
  <si>
    <t>from Tabakanbau via Kemp
Bottom leaves yellow 7/9/14.  All leaf green with cream mottling.  Tender white stalks, stems and suckers.
Bagged 7/25/14</t>
  </si>
  <si>
    <t>COMPARISON 5
Pi 370308 GRIN Puerto Rico 1972
less robust than Dom Olor
bagged 8/29/14</t>
  </si>
  <si>
    <t>COMPARISON 6
Pi 405647 GRIN
Puerto Rico 1975
less robust than Dom Olor
bagged 8/16/14</t>
  </si>
  <si>
    <t>COMPARISON 7
Pi 370309 GRIN Puerto Rico 1972
less robust than Dom Olor
bagged 7/30/14</t>
  </si>
  <si>
    <t>5/14/14</t>
  </si>
  <si>
    <t>5/27:7/31=65</t>
  </si>
  <si>
    <t>v. lt. green</t>
  </si>
  <si>
    <t>no descender</t>
  </si>
  <si>
    <t>-</t>
  </si>
  <si>
    <t>semi descender</t>
  </si>
  <si>
    <t>28</t>
  </si>
  <si>
    <t>5/14:9/3=112</t>
  </si>
  <si>
    <r>
      <t xml:space="preserve">COMPARISON 4
ARS-GRIN 
PI 552617 Dominican Rep. (1991). Named "Wrapper"
</t>
    </r>
    <r>
      <rPr>
        <b/>
        <sz val="10"/>
        <color indexed="8"/>
        <rFont val="Arial"/>
        <family val="2"/>
      </rPr>
      <t>All 4 Olor varieties affected by nearby tree roots.</t>
    </r>
  </si>
  <si>
    <t>dk pink</t>
  </si>
  <si>
    <t>5/14:8/22=100</t>
  </si>
  <si>
    <t>anguar</t>
  </si>
  <si>
    <t>27</t>
  </si>
  <si>
    <t>5/14:8/5=83</t>
  </si>
  <si>
    <t>90º</t>
  </si>
  <si>
    <t>5/17/14</t>
  </si>
  <si>
    <t>5/24/14</t>
  </si>
  <si>
    <t>5/20/14</t>
  </si>
  <si>
    <t>[30 total varieties; 10 repeat varieties]</t>
  </si>
  <si>
    <t>*Auricle configuration</t>
  </si>
  <si>
    <t>1020 trays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</si>
</sst>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/d/yy\ h:mm\ AM/PM;@"/>
  </numFmts>
  <fonts count="9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/>
    <xf numFmtId="0" fontId="0" fillId="0" borderId="1" xfId="0" applyBorder="1" applyAlignment="1">
      <alignment horizontal="right"/>
    </xf>
    <xf numFmtId="164" fontId="0" fillId="0" borderId="1" xfId="0" quotePrefix="1" applyNumberFormat="1" applyBorder="1" applyAlignment="1">
      <alignment horizontal="left"/>
    </xf>
    <xf numFmtId="0" fontId="0" fillId="0" borderId="1" xfId="0" applyBorder="1"/>
    <xf numFmtId="0" fontId="4" fillId="0" borderId="2" xfId="0" applyFont="1" applyBorder="1"/>
    <xf numFmtId="0" fontId="4" fillId="0" borderId="3" xfId="0" applyFont="1" applyBorder="1"/>
    <xf numFmtId="0" fontId="0" fillId="0" borderId="2" xfId="0" applyBorder="1"/>
    <xf numFmtId="0" fontId="0" fillId="0" borderId="2" xfId="0" quotePrefix="1" applyBorder="1"/>
    <xf numFmtId="0" fontId="4" fillId="0" borderId="2" xfId="0" quotePrefix="1" applyFont="1" applyBorder="1"/>
    <xf numFmtId="0" fontId="4" fillId="2" borderId="2" xfId="0" applyFont="1" applyFill="1" applyBorder="1"/>
    <xf numFmtId="0" fontId="0" fillId="2" borderId="2" xfId="0" applyFill="1" applyBorder="1"/>
    <xf numFmtId="0" fontId="0" fillId="0" borderId="4" xfId="0" applyBorder="1"/>
    <xf numFmtId="0" fontId="0" fillId="0" borderId="5" xfId="0" applyBorder="1"/>
    <xf numFmtId="0" fontId="4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6" fillId="0" borderId="4" xfId="0" applyFont="1" applyFill="1" applyBorder="1"/>
    <xf numFmtId="0" fontId="0" fillId="0" borderId="6" xfId="0" applyBorder="1" applyAlignment="1">
      <alignment vertical="top" wrapText="1"/>
    </xf>
    <xf numFmtId="0" fontId="4" fillId="0" borderId="2" xfId="0" applyFont="1" applyFill="1" applyBorder="1"/>
    <xf numFmtId="0" fontId="0" fillId="0" borderId="0" xfId="0" applyAlignment="1">
      <alignment vertical="top" wrapText="1"/>
    </xf>
    <xf numFmtId="0" fontId="0" fillId="0" borderId="0" xfId="0" applyBorder="1"/>
    <xf numFmtId="0" fontId="1" fillId="2" borderId="2" xfId="0" applyFont="1" applyFill="1" applyBorder="1"/>
    <xf numFmtId="0" fontId="0" fillId="2" borderId="2" xfId="0" applyFill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7" fillId="0" borderId="7" xfId="0" applyFont="1" applyBorder="1"/>
    <xf numFmtId="0" fontId="5" fillId="0" borderId="8" xfId="0" quotePrefix="1" applyFont="1" applyBorder="1"/>
    <xf numFmtId="0" fontId="8" fillId="0" borderId="2" xfId="0" applyFont="1" applyBorder="1"/>
    <xf numFmtId="49" fontId="6" fillId="0" borderId="4" xfId="0" applyNumberFormat="1" applyFont="1" applyFill="1" applyBorder="1"/>
    <xf numFmtId="49" fontId="0" fillId="0" borderId="0" xfId="0" applyNumberFormat="1"/>
    <xf numFmtId="0" fontId="0" fillId="0" borderId="2" xfId="0" applyBorder="1" applyAlignment="1">
      <alignment horizontal="left"/>
    </xf>
    <xf numFmtId="0" fontId="0" fillId="0" borderId="0" xfId="0" applyAlignment="1">
      <alignment horizontal="right"/>
    </xf>
    <xf numFmtId="49" fontId="0" fillId="0" borderId="4" xfId="0" quotePrefix="1" applyNumberFormat="1" applyBorder="1"/>
    <xf numFmtId="49" fontId="0" fillId="0" borderId="2" xfId="0" quotePrefix="1" applyNumberFormat="1" applyBorder="1"/>
    <xf numFmtId="0" fontId="0" fillId="0" borderId="2" xfId="0" quotePrefix="1" applyBorder="1" applyAlignment="1">
      <alignment horizontal="left"/>
    </xf>
    <xf numFmtId="0" fontId="4" fillId="3" borderId="2" xfId="0" applyFont="1" applyFill="1" applyBorder="1"/>
    <xf numFmtId="0" fontId="4" fillId="3" borderId="2" xfId="0" quotePrefix="1" applyFont="1" applyFill="1" applyBorder="1"/>
    <xf numFmtId="0" fontId="0" fillId="3" borderId="2" xfId="0" quotePrefix="1" applyFill="1" applyBorder="1"/>
    <xf numFmtId="0" fontId="0" fillId="3" borderId="0" xfId="0" applyFill="1"/>
    <xf numFmtId="0" fontId="4" fillId="0" borderId="2" xfId="0" quotePrefix="1" applyFont="1" applyFill="1" applyBorder="1"/>
    <xf numFmtId="0" fontId="0" fillId="0" borderId="2" xfId="0" quotePrefix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58.85546875" customWidth="1"/>
    <col min="2" max="2" width="18.42578125" bestFit="1" customWidth="1"/>
    <col min="3" max="3" width="16.7109375" customWidth="1"/>
    <col min="4" max="4" width="17.42578125" customWidth="1"/>
    <col min="5" max="7" width="16.7109375" customWidth="1"/>
    <col min="8" max="8" width="19.140625" customWidth="1"/>
    <col min="9" max="11" width="16.7109375" customWidth="1"/>
    <col min="12" max="12" width="15.42578125" customWidth="1"/>
    <col min="13" max="13" width="16.7109375" customWidth="1"/>
    <col min="14" max="14" width="18.5703125" bestFit="1" customWidth="1"/>
    <col min="15" max="16" width="16.7109375" customWidth="1"/>
    <col min="17" max="17" width="23.42578125" customWidth="1"/>
    <col min="18" max="18" width="25" customWidth="1"/>
    <col min="19" max="19" width="22" customWidth="1"/>
    <col min="20" max="21" width="16.7109375" customWidth="1"/>
    <col min="22" max="22" width="19.140625" bestFit="1" customWidth="1"/>
    <col min="23" max="29" width="17.5703125" customWidth="1"/>
    <col min="30" max="30" width="19.42578125" bestFit="1" customWidth="1"/>
  </cols>
  <sheetData>
    <row r="1" spans="1:30" ht="18.75" thickBot="1" x14ac:dyDescent="0.3">
      <c r="A1" s="1" t="s">
        <v>0</v>
      </c>
      <c r="B1" s="26" t="s">
        <v>1</v>
      </c>
      <c r="C1" s="27" t="s">
        <v>78</v>
      </c>
      <c r="D1" s="2" t="s">
        <v>2</v>
      </c>
      <c r="E1" s="3">
        <f ca="1">NOW()</f>
        <v>42801.477584837965</v>
      </c>
      <c r="F1" s="4" t="s">
        <v>229</v>
      </c>
      <c r="H1" s="4"/>
      <c r="I1" s="4"/>
      <c r="J1" s="22"/>
      <c r="K1" s="22"/>
    </row>
    <row r="2" spans="1:30" ht="13.5" customHeight="1" x14ac:dyDescent="0.2">
      <c r="A2" s="5" t="s">
        <v>122</v>
      </c>
      <c r="B2" s="5" t="s">
        <v>79</v>
      </c>
      <c r="C2" s="5" t="s">
        <v>80</v>
      </c>
      <c r="D2" s="5" t="s">
        <v>89</v>
      </c>
      <c r="E2" s="6" t="s">
        <v>24</v>
      </c>
      <c r="F2" s="6" t="s">
        <v>25</v>
      </c>
      <c r="G2" s="5" t="s">
        <v>3</v>
      </c>
      <c r="H2" s="6" t="s">
        <v>81</v>
      </c>
      <c r="I2" s="5" t="s">
        <v>26</v>
      </c>
      <c r="J2" s="5" t="s">
        <v>28</v>
      </c>
      <c r="K2" s="5" t="s">
        <v>82</v>
      </c>
      <c r="L2" s="20" t="s">
        <v>70</v>
      </c>
      <c r="M2" s="20" t="s">
        <v>83</v>
      </c>
      <c r="N2" s="20" t="s">
        <v>123</v>
      </c>
      <c r="O2" s="20" t="s">
        <v>87</v>
      </c>
      <c r="P2" s="20" t="s">
        <v>29</v>
      </c>
      <c r="Q2" s="5" t="s">
        <v>84</v>
      </c>
      <c r="R2" s="5" t="s">
        <v>85</v>
      </c>
      <c r="S2" s="5" t="s">
        <v>86</v>
      </c>
      <c r="T2" s="5" t="s">
        <v>74</v>
      </c>
      <c r="U2" s="5" t="s">
        <v>88</v>
      </c>
      <c r="V2" s="5" t="s">
        <v>124</v>
      </c>
      <c r="W2" s="5" t="s">
        <v>91</v>
      </c>
      <c r="X2" s="5" t="s">
        <v>125</v>
      </c>
      <c r="Y2" s="5" t="s">
        <v>126</v>
      </c>
      <c r="Z2" s="5" t="s">
        <v>127</v>
      </c>
      <c r="AA2" s="5" t="s">
        <v>128</v>
      </c>
      <c r="AB2" s="5" t="s">
        <v>129</v>
      </c>
      <c r="AC2" s="5" t="s">
        <v>130</v>
      </c>
      <c r="AD2" s="5" t="s">
        <v>131</v>
      </c>
    </row>
    <row r="3" spans="1:30" ht="13.5" customHeight="1" x14ac:dyDescent="0.2">
      <c r="A3" s="7" t="s">
        <v>4</v>
      </c>
      <c r="B3" s="8" t="str">
        <f>TEXT(CONVERT(69,"in","cm"),"#.00") &amp; " / 69"</f>
        <v>175.26 / 69</v>
      </c>
      <c r="C3" s="8" t="str">
        <f>TEXT(CONVERT(76,"in","cm"),"#.00") &amp; " / 76"</f>
        <v>193.04 / 76</v>
      </c>
      <c r="D3" s="8" t="str">
        <f>TEXT(CONVERT(78,"in","cm"),"#.00") &amp; " / 78"</f>
        <v>198.12 / 78</v>
      </c>
      <c r="E3" s="8" t="str">
        <f>TEXT(CONVERT(44,"in","cm"),"#.00") &amp; " / 44"</f>
        <v>111.76 / 44</v>
      </c>
      <c r="F3" s="8" t="str">
        <f>TEXT(CONVERT(57,"in","cm"),"#.00") &amp; " / 57"</f>
        <v>144.78 / 57</v>
      </c>
      <c r="G3" s="8" t="str">
        <f>TEXT(CONVERT(42,"in","cm"),"#.00") &amp; " / 42"</f>
        <v>106.68 / 42</v>
      </c>
      <c r="H3" s="8" t="str">
        <f>TEXT(CONVERT(71,"in","cm"),"#.00") &amp; " / 71"</f>
        <v>180.34 / 71</v>
      </c>
      <c r="I3" s="8" t="str">
        <f>TEXT(CONVERT(56,"in","cm"),"#.00") &amp; " / 56"</f>
        <v>142.24 / 56</v>
      </c>
      <c r="J3" s="8" t="str">
        <f>TEXT(CONVERT(36,"in","cm"),"#.00") &amp; " / 36"</f>
        <v>91.44 / 36</v>
      </c>
      <c r="K3" s="8" t="str">
        <f>TEXT(CONVERT(50,"in","cm"),"#.00") &amp; " / 50"</f>
        <v>127.00 / 50</v>
      </c>
      <c r="L3" s="8" t="str">
        <f>TEXT(CONVERT(52,"in","cm"),"#.00") &amp; " / 52"</f>
        <v>132.08 / 52</v>
      </c>
      <c r="M3" s="8" t="str">
        <f>TEXT(CONVERT(62,"in","cm"),"#.00") &amp; " / 62"</f>
        <v>157.48 / 62</v>
      </c>
      <c r="N3" s="8" t="str">
        <f>TEXT(CONVERT(35,"in","cm"),"#.00") &amp; " / 35"</f>
        <v>88.90 / 35</v>
      </c>
      <c r="O3" s="8" t="s">
        <v>105</v>
      </c>
      <c r="P3" s="8" t="s">
        <v>115</v>
      </c>
      <c r="Q3" s="8" t="str">
        <f>TEXT(CONVERT(55,"in","cm"),"#.00") &amp; " / 55"</f>
        <v>139.70 / 55</v>
      </c>
      <c r="R3" s="8" t="str">
        <f>TEXT(CONVERT(55,"in","cm"),"#.00") &amp; " / 55"</f>
        <v>139.70 / 55</v>
      </c>
      <c r="S3" s="8" t="str">
        <f>TEXT(CONVERT(55,"in","cm"),"#.00") &amp; " / 55"</f>
        <v>139.70 / 55</v>
      </c>
      <c r="T3" s="8" t="str">
        <f>TEXT(CONVERT(52,"in","cm"),"#.00") &amp; " / 52"</f>
        <v>132.08 / 52</v>
      </c>
      <c r="U3" s="8" t="str">
        <f>TEXT(CONVERT(37,"in","cm"),"#.00") &amp; " / 37"</f>
        <v>93.98 / 37</v>
      </c>
      <c r="V3" s="8" t="str">
        <f>TEXT(CONVERT(42,"in","cm"),"#.00") &amp; " / 42"</f>
        <v>106.68 / 42</v>
      </c>
      <c r="W3" s="8" t="str">
        <f>TEXT(CONVERT(48,"in","cm"),"#.00") &amp; " / 48"</f>
        <v>121.92 / 48</v>
      </c>
      <c r="X3" s="8" t="str">
        <f>TEXT(CONVERT(65,"in","cm"),"#.00") &amp; " / 65"</f>
        <v>165.10 / 65</v>
      </c>
      <c r="Y3" s="8" t="str">
        <f>TEXT(CONVERT(48,"in","cm"),"#.00") &amp; " / 48"</f>
        <v>121.92 / 48</v>
      </c>
      <c r="Z3" s="8" t="str">
        <f>TEXT(CONVERT(60,"in","cm"),"#.00") &amp; " / 60"</f>
        <v>152.40 / 60</v>
      </c>
      <c r="AA3" s="8" t="str">
        <f>TEXT(CONVERT(66,"in","cm"),"#.00") &amp; " / 66"</f>
        <v>167.64 / 66</v>
      </c>
      <c r="AB3" s="8" t="str">
        <f>TEXT(CONVERT(60,"in","cm"),"#.00") &amp; " / 60"</f>
        <v>152.40 / 60</v>
      </c>
      <c r="AC3" s="8" t="str">
        <f>TEXT(CONVERT(76,"in","cm"),"#.00") &amp; " / 76"</f>
        <v>193.04 / 76</v>
      </c>
      <c r="AD3" s="8" t="str">
        <f>TEXT(CONVERT(64,"in","cm"),"#.00") &amp; " / 64"</f>
        <v>162.56 / 64</v>
      </c>
    </row>
    <row r="4" spans="1:30" ht="13.5" customHeight="1" x14ac:dyDescent="0.2">
      <c r="A4" s="28" t="s">
        <v>73</v>
      </c>
      <c r="B4" s="8" t="str">
        <f>TEXT(CONVERT(60,"in","cm"),"#.00") &amp; " / 60"</f>
        <v>152.40 / 60</v>
      </c>
      <c r="C4" s="8" t="str">
        <f>TEXT(CONVERT(92,"in","cm"),"#.00") &amp; " / 92"</f>
        <v>233.68 / 92</v>
      </c>
      <c r="D4" s="8" t="str">
        <f>TEXT(CONVERT(78,"in","cm"),"#.00") &amp; " / 78"</f>
        <v>198.12 / 78</v>
      </c>
      <c r="E4" s="8" t="str">
        <f>TEXT(CONVERT(44,"in","cm"),"#.00") &amp; " / 44"</f>
        <v>111.76 / 44</v>
      </c>
      <c r="F4" s="9" t="str">
        <f>TEXT(CONVERT(48,"in","cm"),"#.00") &amp; " / 48"</f>
        <v>121.92 / 48</v>
      </c>
      <c r="G4" s="9" t="str">
        <f>TEXT(CONVERT(48,"in","cm"),"#.00") &amp; " / 48"</f>
        <v>121.92 / 48</v>
      </c>
      <c r="H4" s="8" t="str">
        <f>TEXT(CONVERT(76,"in","cm"),"#.00") &amp; " / 76"</f>
        <v>193.04 / 76</v>
      </c>
      <c r="I4" s="9" t="str">
        <f>TEXT(CONVERT(56,"in","cm"),"#.00") &amp; " / 56"</f>
        <v>142.24 / 56</v>
      </c>
      <c r="J4" s="9" t="str">
        <f>TEXT(CONVERT(32,"in","cm"),"#.00") &amp; " / 32"</f>
        <v>81.28 / 32</v>
      </c>
      <c r="K4" s="8" t="str">
        <f>TEXT(CONVERT(47,"in","cm"),"#.00") &amp; " / 47"</f>
        <v>119.38 / 47</v>
      </c>
      <c r="L4" s="9" t="str">
        <f>TEXT(CONVERT(54,"in","cm"),"#.00") &amp; " / 54"</f>
        <v>137.16 / 54</v>
      </c>
      <c r="M4" s="8" t="str">
        <f>TEXT(CONVERT(60,"in","cm"),"#.00") &amp; " / 60"</f>
        <v>152.40 / 60</v>
      </c>
      <c r="N4" s="8" t="str">
        <f>TEXT(CONVERT(35,"in","cm"),"#.00") &amp; " / 35"</f>
        <v>88.90 / 35</v>
      </c>
      <c r="O4" s="9" t="s">
        <v>106</v>
      </c>
      <c r="P4" s="9" t="s">
        <v>116</v>
      </c>
      <c r="Q4" s="8" t="str">
        <f>TEXT(CONVERT(52,"in","cm"),"#.00") &amp; " / 52"</f>
        <v>132.08 / 52</v>
      </c>
      <c r="R4" s="8" t="str">
        <f>TEXT(CONVERT(52,"in","cm"),"#.00") &amp; " / 52"</f>
        <v>132.08 / 52</v>
      </c>
      <c r="S4" s="8" t="str">
        <f>TEXT(CONVERT(52,"in","cm"),"#.00") &amp; " / 52"</f>
        <v>132.08 / 52</v>
      </c>
      <c r="T4" s="5" t="s">
        <v>30</v>
      </c>
      <c r="U4" s="7" t="s">
        <v>30</v>
      </c>
      <c r="V4" s="7" t="s">
        <v>30</v>
      </c>
      <c r="W4" s="8" t="str">
        <f>TEXT(CONVERT(48,"in","cm"),"#.00") &amp; " / 48"</f>
        <v>121.92 / 48</v>
      </c>
      <c r="X4" s="8" t="str">
        <f>TEXT(CONVERT(60,"in","cm"),"#.00") &amp; " / 60"</f>
        <v>152.40 / 60</v>
      </c>
      <c r="Y4" s="8" t="str">
        <f>TEXT(CONVERT(48,"in","cm"),"#.00") &amp; " / 48"</f>
        <v>121.92 / 48</v>
      </c>
      <c r="Z4" s="8" t="str">
        <f>TEXT(CONVERT(60,"in","cm"),"#.00") &amp; " / 60"</f>
        <v>152.40 / 60</v>
      </c>
      <c r="AA4" s="8" t="str">
        <f>TEXT(CONVERT(60,"in","cm"),"#.00") &amp; " / 60"</f>
        <v>152.40 / 60</v>
      </c>
      <c r="AB4" s="8" t="str">
        <f>TEXT(CONVERT(68,"in","cm"),"#.00") &amp; " / 68"</f>
        <v>172.72 / 68</v>
      </c>
      <c r="AC4" s="8" t="str">
        <f>TEXT(CONVERT(68,"in","cm"),"#.00") &amp; " / 68"</f>
        <v>172.72 / 68</v>
      </c>
      <c r="AD4" s="8" t="str">
        <f>TEXT(CONVERT(58,"in","cm"),"#.00") &amp; " / 58"</f>
        <v>147.32 / 58</v>
      </c>
    </row>
    <row r="5" spans="1:30" s="39" customFormat="1" ht="13.5" customHeight="1" x14ac:dyDescent="0.2">
      <c r="A5" s="36" t="s">
        <v>5</v>
      </c>
      <c r="B5" s="37" t="str">
        <f>TEXT(CONVERT(16,"in","cm"),"#.00") &amp; " / 16"</f>
        <v>40.64 / 16</v>
      </c>
      <c r="C5" s="37" t="str">
        <f>TEXT(CONVERT(15,"in","cm"),"#.00") &amp; " / 15"</f>
        <v>38.10 / 15</v>
      </c>
      <c r="D5" s="37" t="str">
        <f>TEXT(CONVERT(18.5,"in","cm"),"#.00") &amp; " / 18.5"</f>
        <v>46.99 / 18.5</v>
      </c>
      <c r="E5" s="37" t="str">
        <f>TEXT(CONVERT(22,"in","cm"),"#.00") &amp; " / 22"</f>
        <v>55.88 / 22</v>
      </c>
      <c r="F5" s="37" t="str">
        <f>TEXT(CONVERT(23.5,"in","cm"),"#.00") &amp; " / 23.5"</f>
        <v>59.69 / 23.5</v>
      </c>
      <c r="G5" s="37" t="str">
        <f>TEXT(CONVERT(18,"in","cm"),"#.00") &amp; " / 18"</f>
        <v>45.72 / 18</v>
      </c>
      <c r="H5" s="37" t="str">
        <f>TEXT(CONVERT(20,"in","cm"),"#.00") &amp; " / 20"</f>
        <v>50.80 / 20</v>
      </c>
      <c r="I5" s="37" t="str">
        <f>TEXT(CONVERT(20,"in","cm"),"#.00") &amp; " / 20"</f>
        <v>50.80 / 20</v>
      </c>
      <c r="J5" s="37" t="str">
        <f>TEXT(CONVERT(26,"in","cm"),"#.00") &amp; " / 26"</f>
        <v>66.04 / 26</v>
      </c>
      <c r="K5" s="38" t="str">
        <f>TEXT(CONVERT(29,"in","cm"),"#.00") &amp; " / 29"</f>
        <v>73.66 / 29</v>
      </c>
      <c r="L5" s="37" t="str">
        <f>TEXT(CONVERT(16,"in","cm"),"#.00") &amp; " / 16"</f>
        <v>40.64 / 16</v>
      </c>
      <c r="M5" s="38" t="str">
        <f>TEXT(CONVERT(16,"in","cm"),"#.00") &amp; " / 16"</f>
        <v>40.64 / 16</v>
      </c>
      <c r="N5" s="38" t="str">
        <f>TEXT(CONVERT(10,"in","cm"),"#.00") &amp; " / 10"</f>
        <v>25.40 / 10</v>
      </c>
      <c r="O5" s="38" t="s">
        <v>107</v>
      </c>
      <c r="P5" s="38" t="s">
        <v>117</v>
      </c>
      <c r="Q5" s="38" t="str">
        <f>TEXT(CONVERT(27,"in","cm"),"#.00") &amp; " / 27"</f>
        <v>68.58 / 27</v>
      </c>
      <c r="R5" s="38" t="str">
        <f>TEXT(CONVERT(27,"in","cm"),"#.00") &amp; " / 27"</f>
        <v>68.58 / 27</v>
      </c>
      <c r="S5" s="38" t="str">
        <f>TEXT(CONVERT(27,"in","cm"),"#.00") &amp; " / 27"</f>
        <v>68.58 / 27</v>
      </c>
      <c r="T5" s="37" t="str">
        <f>TEXT(CONVERT(13.5,"in","cm"),"#.00") &amp; " / 13.5"</f>
        <v>34.29 / 13.5</v>
      </c>
      <c r="U5" s="38" t="str">
        <f>TEXT(CONVERT(13,"in","cm"),"#.00") &amp; " / 13"</f>
        <v>33.02 / 13</v>
      </c>
      <c r="V5" s="38" t="str">
        <f>TEXT(CONVERT(11,"in","cm"),"#.00") &amp; " / 11"</f>
        <v>27.94 / 11</v>
      </c>
      <c r="W5" s="38" t="str">
        <f>TEXT(CONVERT(17,"in","cm"),"#.00") &amp; " / 17"</f>
        <v>43.18 / 17</v>
      </c>
      <c r="X5" s="38" t="str">
        <f>TEXT(CONVERT(17,"in","cm"),"#.00") &amp; " / 17"</f>
        <v>43.18 / 17</v>
      </c>
      <c r="Y5" s="38" t="str">
        <f>TEXT(CONVERT(22,"in","cm"),"#.00") &amp; " / 22"</f>
        <v>55.88 / 22</v>
      </c>
      <c r="Z5" s="38" t="str">
        <f>TEXT(CONVERT(23,"in","cm"),"#.00") &amp; " / 23"</f>
        <v>58.42 / 23</v>
      </c>
      <c r="AA5" s="38" t="str">
        <f>TEXT(CONVERT(14,"in","cm"),"#.00") &amp; " / 14"</f>
        <v>35.56 / 14</v>
      </c>
      <c r="AB5" s="38" t="str">
        <f>TEXT(CONVERT(15,"in","cm"),"#.00") &amp; " / 15"</f>
        <v>38.10 / 15</v>
      </c>
      <c r="AC5" s="38" t="str">
        <f>TEXT(CONVERT(18,"in","cm"),"#.00") &amp; " / 18"</f>
        <v>45.72 / 18</v>
      </c>
      <c r="AD5" s="38" t="str">
        <f>TEXT(CONVERT(19,"in","cm"),"#.00") &amp; " / 19"</f>
        <v>48.26 / 19</v>
      </c>
    </row>
    <row r="6" spans="1:30" s="42" customFormat="1" ht="13.5" customHeight="1" x14ac:dyDescent="0.2">
      <c r="A6" s="20" t="s">
        <v>6</v>
      </c>
      <c r="B6" s="40" t="str">
        <f>TEXT(CONVERT(10,"in","cm"),"#.00") &amp; " / 10"</f>
        <v>25.40 / 10</v>
      </c>
      <c r="C6" s="40" t="str">
        <f>TEXT(CONVERT(10,"in","cm"),"#.00") &amp; " / 10"</f>
        <v>25.40 / 10</v>
      </c>
      <c r="D6" s="40" t="str">
        <f>TEXT(CONVERT(8,"in","cm"),"#.00") &amp; " / 8"</f>
        <v>20.32 / 8</v>
      </c>
      <c r="E6" s="40" t="str">
        <f>TEXT(CONVERT(8.5,"in","cm"),"#.00") &amp; " / 8.5"</f>
        <v>21.59 / 8.5</v>
      </c>
      <c r="F6" s="40" t="str">
        <f>TEXT(CONVERT(10,"in","cm"),"#.00") &amp; " / 10"</f>
        <v>25.40 / 10</v>
      </c>
      <c r="G6" s="40" t="str">
        <f>TEXT(CONVERT(11,"in","cm"),"#.00") &amp; " / 11"</f>
        <v>27.94 / 11</v>
      </c>
      <c r="H6" s="40" t="str">
        <f>TEXT(CONVERT(11,"in","cm"),"#.00") &amp; " / 11"</f>
        <v>27.94 / 11</v>
      </c>
      <c r="I6" s="40" t="str">
        <f>TEXT(CONVERT(12,"in","cm"),"#.00") &amp; " / 12"</f>
        <v>30.48 / 12</v>
      </c>
      <c r="J6" s="40" t="str">
        <f>TEXT(CONVERT(9,"in","cm"),"#.00") &amp; " / 9"</f>
        <v>22.86 / 9</v>
      </c>
      <c r="K6" s="41" t="str">
        <f>TEXT(CONVERT(11,"in","cm"),"#.00") &amp; " / 11"</f>
        <v>27.94 / 11</v>
      </c>
      <c r="L6" s="40" t="str">
        <f>TEXT(CONVERT(11,"in","cm"),"#.00") &amp; " / 11"</f>
        <v>27.94 / 11</v>
      </c>
      <c r="M6" s="41" t="str">
        <f>TEXT(CONVERT(6,"in","cm"),"#.00") &amp; " / 6"</f>
        <v>15.24 / 6</v>
      </c>
      <c r="N6" s="41" t="str">
        <f>TEXT(CONVERT(6,"in","cm"),"#.00") &amp; " / 6"</f>
        <v>15.24 / 6</v>
      </c>
      <c r="O6" s="40" t="s">
        <v>108</v>
      </c>
      <c r="P6" s="40" t="s">
        <v>118</v>
      </c>
      <c r="Q6" s="41" t="str">
        <f>TEXT(CONVERT(14,"in","cm"),"#.00") &amp; " / 14"</f>
        <v>35.56 / 14</v>
      </c>
      <c r="R6" s="41" t="str">
        <f>TEXT(CONVERT(14,"in","cm"),"#.00") &amp; " / 14"</f>
        <v>35.56 / 14</v>
      </c>
      <c r="S6" s="41" t="str">
        <f>TEXT(CONVERT(14,"in","cm"),"#.00") &amp; " / 14"</f>
        <v>35.56 / 14</v>
      </c>
      <c r="T6" s="40" t="str">
        <f>TEXT(CONVERT(7.5,"in","cm"),"#.00") &amp; " / 7.5"</f>
        <v>19.05 / 7.5</v>
      </c>
      <c r="U6" s="41" t="str">
        <f>TEXT(CONVERT(7.5,"in","cm"),"#.00") &amp; " / 7.5"</f>
        <v>19.05 / 7.5</v>
      </c>
      <c r="V6" s="41" t="str">
        <f>TEXT(CONVERT(8,"in","cm"),"#.00") &amp; " / 8"</f>
        <v>20.32 / 8</v>
      </c>
      <c r="W6" s="41" t="str">
        <f>TEXT(CONVERT(8,"in","cm"),"#.00") &amp; " / 8"</f>
        <v>20.32 / 8</v>
      </c>
      <c r="X6" s="41" t="str">
        <f>TEXT(CONVERT(9,"in","cm"),"#.00") &amp; " / 9"</f>
        <v>22.86 / 9</v>
      </c>
      <c r="Y6" s="41" t="str">
        <f>TEXT(CONVERT(11,"in","cm"),"#.00") &amp; " / 11"</f>
        <v>27.94 / 11</v>
      </c>
      <c r="Z6" s="41" t="str">
        <f>TEXT(CONVERT(11,"in","cm"),"#.00") &amp; " / 11"</f>
        <v>27.94 / 11</v>
      </c>
      <c r="AA6" s="41" t="str">
        <f>TEXT(CONVERT(6.5,"in","cm"),"#.00") &amp; " / 6.5"</f>
        <v>16.51 / 6.5</v>
      </c>
      <c r="AB6" s="41" t="str">
        <f>TEXT(CONVERT(5.5,"in","cm"),"#.00") &amp; " / 5.5"</f>
        <v>13.97 / 5.5</v>
      </c>
      <c r="AC6" s="41" t="str">
        <f>TEXT(CONVERT(6,"in","cm"),"#.00") &amp; " / 6"</f>
        <v>15.24 / 6</v>
      </c>
      <c r="AD6" s="41" t="str">
        <f>TEXT(CONVERT(7,"in","cm"),"#.00") &amp; " / 7"</f>
        <v>17.78 / 7</v>
      </c>
    </row>
    <row r="7" spans="1:30" ht="13.5" customHeight="1" x14ac:dyDescent="0.2">
      <c r="A7" s="5" t="s">
        <v>7</v>
      </c>
      <c r="B7" s="9" t="s">
        <v>132</v>
      </c>
      <c r="C7" s="9" t="s">
        <v>133</v>
      </c>
      <c r="D7" s="9" t="s">
        <v>134</v>
      </c>
      <c r="E7" s="9" t="s">
        <v>32</v>
      </c>
      <c r="F7" s="9" t="s">
        <v>33</v>
      </c>
      <c r="G7" s="9" t="s">
        <v>31</v>
      </c>
      <c r="H7" s="9" t="s">
        <v>135</v>
      </c>
      <c r="I7" s="9" t="s">
        <v>31</v>
      </c>
      <c r="J7" s="9" t="s">
        <v>32</v>
      </c>
      <c r="K7" s="9" t="s">
        <v>161</v>
      </c>
      <c r="L7" s="8" t="s">
        <v>92</v>
      </c>
      <c r="M7" s="8" t="s">
        <v>160</v>
      </c>
      <c r="N7" s="8" t="s">
        <v>161</v>
      </c>
      <c r="O7" s="9" t="s">
        <v>109</v>
      </c>
      <c r="P7" s="9" t="s">
        <v>92</v>
      </c>
      <c r="Q7" s="9" t="s">
        <v>176</v>
      </c>
      <c r="R7" s="9" t="s">
        <v>176</v>
      </c>
      <c r="S7" s="9" t="s">
        <v>176</v>
      </c>
      <c r="T7" s="9" t="s">
        <v>119</v>
      </c>
      <c r="U7" s="9" t="s">
        <v>109</v>
      </c>
      <c r="V7" s="9" t="s">
        <v>32</v>
      </c>
      <c r="W7" s="9" t="s">
        <v>176</v>
      </c>
      <c r="X7" s="9" t="s">
        <v>200</v>
      </c>
      <c r="Y7" s="9" t="s">
        <v>93</v>
      </c>
      <c r="Z7" s="9" t="s">
        <v>200</v>
      </c>
      <c r="AA7" s="9" t="s">
        <v>160</v>
      </c>
      <c r="AB7" s="9" t="s">
        <v>217</v>
      </c>
      <c r="AC7" s="9" t="s">
        <v>217</v>
      </c>
      <c r="AD7" s="9" t="s">
        <v>223</v>
      </c>
    </row>
    <row r="8" spans="1:30" ht="13.5" customHeight="1" x14ac:dyDescent="0.2">
      <c r="A8" s="23" t="s">
        <v>58</v>
      </c>
      <c r="B8" s="10" t="s">
        <v>141</v>
      </c>
      <c r="C8" s="10" t="s">
        <v>140</v>
      </c>
      <c r="D8" s="10" t="s">
        <v>142</v>
      </c>
      <c r="E8" s="10" t="s">
        <v>215</v>
      </c>
      <c r="F8" s="10" t="s">
        <v>215</v>
      </c>
      <c r="G8" s="10" t="s">
        <v>215</v>
      </c>
      <c r="H8" s="10" t="s">
        <v>143</v>
      </c>
      <c r="I8" s="10" t="s">
        <v>215</v>
      </c>
      <c r="J8" s="10" t="s">
        <v>215</v>
      </c>
      <c r="K8" s="10" t="s">
        <v>166</v>
      </c>
      <c r="L8" s="10" t="s">
        <v>215</v>
      </c>
      <c r="M8" s="10" t="s">
        <v>167</v>
      </c>
      <c r="N8" s="10" t="s">
        <v>168</v>
      </c>
      <c r="O8" s="10" t="s">
        <v>215</v>
      </c>
      <c r="P8" s="10" t="s">
        <v>215</v>
      </c>
      <c r="Q8" s="10" t="s">
        <v>181</v>
      </c>
      <c r="R8" s="10" t="s">
        <v>182</v>
      </c>
      <c r="S8" s="10" t="s">
        <v>183</v>
      </c>
      <c r="T8" s="10" t="s">
        <v>215</v>
      </c>
      <c r="U8" s="10" t="s">
        <v>193</v>
      </c>
      <c r="V8" s="10" t="s">
        <v>194</v>
      </c>
      <c r="W8" s="10" t="s">
        <v>198</v>
      </c>
      <c r="X8" s="10" t="s">
        <v>201</v>
      </c>
      <c r="Y8" s="10" t="s">
        <v>204</v>
      </c>
      <c r="Z8" s="10" t="s">
        <v>212</v>
      </c>
      <c r="AA8" s="10" t="s">
        <v>215</v>
      </c>
      <c r="AB8" s="10" t="s">
        <v>218</v>
      </c>
      <c r="AC8" s="10" t="s">
        <v>221</v>
      </c>
      <c r="AD8" s="10" t="s">
        <v>224</v>
      </c>
    </row>
    <row r="9" spans="1:30" ht="13.5" customHeight="1" x14ac:dyDescent="0.2">
      <c r="A9" s="7" t="s">
        <v>8</v>
      </c>
      <c r="B9" s="7" t="s">
        <v>57</v>
      </c>
      <c r="C9" s="7" t="s">
        <v>57</v>
      </c>
      <c r="D9" s="7" t="s">
        <v>57</v>
      </c>
      <c r="E9" s="7" t="s">
        <v>34</v>
      </c>
      <c r="F9" s="7" t="s">
        <v>34</v>
      </c>
      <c r="G9" s="7" t="s">
        <v>34</v>
      </c>
      <c r="H9" s="7" t="s">
        <v>57</v>
      </c>
      <c r="I9" s="7" t="s">
        <v>34</v>
      </c>
      <c r="J9" s="7" t="s">
        <v>34</v>
      </c>
      <c r="K9" s="7" t="s">
        <v>34</v>
      </c>
      <c r="L9" s="7" t="s">
        <v>34</v>
      </c>
      <c r="M9" s="7" t="s">
        <v>34</v>
      </c>
      <c r="N9" s="7" t="s">
        <v>57</v>
      </c>
      <c r="O9" s="7" t="s">
        <v>34</v>
      </c>
      <c r="P9" s="7" t="s">
        <v>34</v>
      </c>
      <c r="Q9" s="7" t="s">
        <v>34</v>
      </c>
      <c r="R9" s="7" t="s">
        <v>34</v>
      </c>
      <c r="S9" s="7" t="s">
        <v>34</v>
      </c>
      <c r="T9" s="7" t="s">
        <v>57</v>
      </c>
      <c r="U9" s="7" t="s">
        <v>34</v>
      </c>
      <c r="V9" s="7" t="s">
        <v>57</v>
      </c>
      <c r="W9" s="7" t="s">
        <v>34</v>
      </c>
      <c r="X9" s="7" t="s">
        <v>34</v>
      </c>
      <c r="Y9" s="7" t="s">
        <v>34</v>
      </c>
      <c r="Z9" s="7" t="s">
        <v>34</v>
      </c>
      <c r="AA9" s="7" t="s">
        <v>34</v>
      </c>
      <c r="AB9" s="7" t="s">
        <v>34</v>
      </c>
      <c r="AC9" s="7" t="s">
        <v>34</v>
      </c>
      <c r="AD9" s="7" t="s">
        <v>34</v>
      </c>
    </row>
    <row r="10" spans="1:30" ht="13.5" customHeight="1" x14ac:dyDescent="0.2">
      <c r="A10" s="7" t="s">
        <v>9</v>
      </c>
      <c r="B10" s="7" t="s">
        <v>44</v>
      </c>
      <c r="C10" s="7" t="s">
        <v>44</v>
      </c>
      <c r="D10" s="7" t="s">
        <v>144</v>
      </c>
      <c r="E10" s="7" t="s">
        <v>44</v>
      </c>
      <c r="F10" s="7" t="s">
        <v>44</v>
      </c>
      <c r="G10" s="7" t="s">
        <v>44</v>
      </c>
      <c r="H10" s="7" t="s">
        <v>44</v>
      </c>
      <c r="I10" s="7" t="s">
        <v>44</v>
      </c>
      <c r="J10" s="7" t="s">
        <v>44</v>
      </c>
      <c r="K10" s="7" t="s">
        <v>44</v>
      </c>
      <c r="L10" s="7" t="s">
        <v>44</v>
      </c>
      <c r="M10" s="7" t="s">
        <v>44</v>
      </c>
      <c r="N10" s="7" t="s">
        <v>44</v>
      </c>
      <c r="O10" s="7" t="s">
        <v>44</v>
      </c>
      <c r="P10" s="7" t="s">
        <v>44</v>
      </c>
      <c r="Q10" s="7" t="s">
        <v>44</v>
      </c>
      <c r="R10" s="7" t="s">
        <v>44</v>
      </c>
      <c r="S10" s="7" t="s">
        <v>44</v>
      </c>
      <c r="T10" s="7" t="s">
        <v>44</v>
      </c>
      <c r="U10" s="7" t="s">
        <v>44</v>
      </c>
      <c r="V10" s="7" t="s">
        <v>44</v>
      </c>
      <c r="W10" s="7" t="s">
        <v>44</v>
      </c>
      <c r="X10" s="7" t="s">
        <v>202</v>
      </c>
      <c r="Y10" s="7" t="s">
        <v>44</v>
      </c>
      <c r="Z10" s="7" t="s">
        <v>44</v>
      </c>
      <c r="AA10" s="7" t="s">
        <v>44</v>
      </c>
      <c r="AB10" s="7" t="s">
        <v>220</v>
      </c>
      <c r="AC10" s="7" t="s">
        <v>220</v>
      </c>
      <c r="AD10" s="7" t="s">
        <v>44</v>
      </c>
    </row>
    <row r="11" spans="1:30" ht="13.5" customHeight="1" x14ac:dyDescent="0.2">
      <c r="A11" s="11" t="s">
        <v>10</v>
      </c>
      <c r="B11" s="11" t="s">
        <v>35</v>
      </c>
      <c r="C11" s="11" t="s">
        <v>35</v>
      </c>
      <c r="D11" s="11" t="s">
        <v>35</v>
      </c>
      <c r="E11" s="11" t="s">
        <v>35</v>
      </c>
      <c r="F11" s="11" t="s">
        <v>35</v>
      </c>
      <c r="G11" s="11" t="s">
        <v>35</v>
      </c>
      <c r="H11" s="11" t="s">
        <v>35</v>
      </c>
      <c r="I11" s="11" t="s">
        <v>35</v>
      </c>
      <c r="J11" s="11" t="s">
        <v>35</v>
      </c>
      <c r="K11" s="11" t="s">
        <v>35</v>
      </c>
      <c r="L11" s="11" t="s">
        <v>35</v>
      </c>
      <c r="M11" s="11" t="s">
        <v>35</v>
      </c>
      <c r="N11" s="11" t="s">
        <v>35</v>
      </c>
      <c r="O11" s="11" t="s">
        <v>99</v>
      </c>
      <c r="P11" s="11" t="s">
        <v>35</v>
      </c>
      <c r="Q11" s="11" t="s">
        <v>35</v>
      </c>
      <c r="R11" s="11" t="s">
        <v>35</v>
      </c>
      <c r="S11" s="11" t="s">
        <v>35</v>
      </c>
      <c r="T11" s="11" t="s">
        <v>99</v>
      </c>
      <c r="U11" s="11" t="s">
        <v>35</v>
      </c>
      <c r="V11" s="11" t="s">
        <v>195</v>
      </c>
      <c r="W11" s="11" t="s">
        <v>35</v>
      </c>
      <c r="X11" s="11" t="s">
        <v>35</v>
      </c>
      <c r="Y11" s="11" t="s">
        <v>35</v>
      </c>
      <c r="Z11" s="11" t="s">
        <v>35</v>
      </c>
      <c r="AA11" s="11" t="s">
        <v>35</v>
      </c>
      <c r="AB11" s="11" t="s">
        <v>35</v>
      </c>
      <c r="AC11" s="11" t="s">
        <v>35</v>
      </c>
      <c r="AD11" s="11" t="s">
        <v>35</v>
      </c>
    </row>
    <row r="12" spans="1:30" ht="13.5" customHeight="1" x14ac:dyDescent="0.2">
      <c r="A12" s="7" t="s">
        <v>11</v>
      </c>
      <c r="B12" s="7" t="s">
        <v>36</v>
      </c>
      <c r="C12" s="7" t="s">
        <v>36</v>
      </c>
      <c r="D12" s="7" t="s">
        <v>36</v>
      </c>
      <c r="E12" s="7" t="s">
        <v>36</v>
      </c>
      <c r="F12" s="7" t="s">
        <v>36</v>
      </c>
      <c r="G12" s="7" t="s">
        <v>36</v>
      </c>
      <c r="H12" s="7" t="s">
        <v>36</v>
      </c>
      <c r="I12" s="7" t="s">
        <v>36</v>
      </c>
      <c r="J12" s="7" t="s">
        <v>36</v>
      </c>
      <c r="K12" s="7" t="s">
        <v>36</v>
      </c>
      <c r="L12" s="7" t="s">
        <v>36</v>
      </c>
      <c r="M12" s="7" t="s">
        <v>36</v>
      </c>
      <c r="N12" s="7" t="s">
        <v>172</v>
      </c>
      <c r="O12" s="7" t="s">
        <v>36</v>
      </c>
      <c r="P12" s="7" t="s">
        <v>36</v>
      </c>
      <c r="Q12" s="7" t="s">
        <v>36</v>
      </c>
      <c r="R12" s="7" t="s">
        <v>36</v>
      </c>
      <c r="S12" s="7" t="s">
        <v>36</v>
      </c>
      <c r="T12" s="7" t="s">
        <v>36</v>
      </c>
      <c r="U12" s="7" t="s">
        <v>36</v>
      </c>
      <c r="V12" s="7" t="s">
        <v>196</v>
      </c>
      <c r="W12" s="7" t="s">
        <v>36</v>
      </c>
      <c r="X12" s="7" t="s">
        <v>36</v>
      </c>
      <c r="Y12" s="7" t="s">
        <v>36</v>
      </c>
      <c r="Z12" s="7" t="s">
        <v>36</v>
      </c>
      <c r="AA12" s="7" t="s">
        <v>36</v>
      </c>
      <c r="AB12" s="7" t="s">
        <v>36</v>
      </c>
      <c r="AC12" s="7" t="s">
        <v>36</v>
      </c>
      <c r="AD12" s="7" t="s">
        <v>36</v>
      </c>
    </row>
    <row r="13" spans="1:30" ht="13.5" customHeight="1" x14ac:dyDescent="0.2">
      <c r="A13" s="7" t="s">
        <v>12</v>
      </c>
      <c r="B13" s="7" t="s">
        <v>37</v>
      </c>
      <c r="C13" s="7" t="s">
        <v>169</v>
      </c>
      <c r="D13" s="7" t="s">
        <v>169</v>
      </c>
      <c r="E13" s="7" t="s">
        <v>169</v>
      </c>
      <c r="F13" s="7" t="s">
        <v>37</v>
      </c>
      <c r="G13" s="7" t="s">
        <v>169</v>
      </c>
      <c r="H13" s="7" t="s">
        <v>169</v>
      </c>
      <c r="I13" s="7" t="s">
        <v>169</v>
      </c>
      <c r="J13" s="7" t="s">
        <v>37</v>
      </c>
      <c r="K13" s="7" t="s">
        <v>169</v>
      </c>
      <c r="L13" s="7" t="s">
        <v>169</v>
      </c>
      <c r="M13" s="7" t="s">
        <v>169</v>
      </c>
      <c r="N13" s="7" t="s">
        <v>169</v>
      </c>
      <c r="O13" s="7" t="s">
        <v>37</v>
      </c>
      <c r="P13" s="7" t="s">
        <v>37</v>
      </c>
      <c r="Q13" s="7" t="s">
        <v>169</v>
      </c>
      <c r="R13" s="7" t="s">
        <v>169</v>
      </c>
      <c r="S13" s="7" t="s">
        <v>169</v>
      </c>
      <c r="T13" s="7" t="s">
        <v>169</v>
      </c>
      <c r="U13" s="7" t="s">
        <v>169</v>
      </c>
      <c r="V13" s="7" t="s">
        <v>169</v>
      </c>
      <c r="W13" s="7" t="s">
        <v>169</v>
      </c>
      <c r="X13" s="7" t="s">
        <v>37</v>
      </c>
      <c r="Y13" s="7" t="s">
        <v>169</v>
      </c>
      <c r="Z13" s="7" t="s">
        <v>169</v>
      </c>
      <c r="AA13" s="7" t="s">
        <v>37</v>
      </c>
      <c r="AB13" s="7" t="s">
        <v>37</v>
      </c>
      <c r="AC13" s="7" t="s">
        <v>37</v>
      </c>
      <c r="AD13" s="7" t="s">
        <v>37</v>
      </c>
    </row>
    <row r="14" spans="1:30" ht="13.5" customHeight="1" x14ac:dyDescent="0.2">
      <c r="A14" s="11" t="s">
        <v>13</v>
      </c>
      <c r="B14" s="11" t="s">
        <v>38</v>
      </c>
      <c r="C14" s="11" t="s">
        <v>38</v>
      </c>
      <c r="D14" s="11" t="s">
        <v>38</v>
      </c>
      <c r="E14" s="11" t="s">
        <v>45</v>
      </c>
      <c r="F14" s="11" t="s">
        <v>38</v>
      </c>
      <c r="G14" s="11" t="s">
        <v>38</v>
      </c>
      <c r="H14" s="11" t="s">
        <v>38</v>
      </c>
      <c r="I14" s="11" t="s">
        <v>45</v>
      </c>
      <c r="J14" s="11" t="s">
        <v>38</v>
      </c>
      <c r="K14" s="11" t="s">
        <v>38</v>
      </c>
      <c r="L14" s="11" t="s">
        <v>38</v>
      </c>
      <c r="M14" s="11" t="s">
        <v>38</v>
      </c>
      <c r="N14" s="11" t="s">
        <v>38</v>
      </c>
      <c r="O14" s="11" t="s">
        <v>38</v>
      </c>
      <c r="P14" s="11" t="s">
        <v>60</v>
      </c>
      <c r="Q14" s="11" t="s">
        <v>38</v>
      </c>
      <c r="R14" s="11" t="s">
        <v>38</v>
      </c>
      <c r="S14" s="11" t="s">
        <v>38</v>
      </c>
      <c r="T14" s="11" t="s">
        <v>38</v>
      </c>
      <c r="U14" s="11" t="s">
        <v>38</v>
      </c>
      <c r="V14" s="11" t="s">
        <v>94</v>
      </c>
      <c r="W14" s="11" t="s">
        <v>38</v>
      </c>
      <c r="X14" s="11" t="s">
        <v>60</v>
      </c>
      <c r="Y14" s="11" t="s">
        <v>60</v>
      </c>
      <c r="Z14" s="11" t="s">
        <v>213</v>
      </c>
      <c r="AA14" s="11" t="s">
        <v>38</v>
      </c>
      <c r="AB14" s="11" t="s">
        <v>38</v>
      </c>
      <c r="AC14" s="11" t="s">
        <v>38</v>
      </c>
      <c r="AD14" s="11" t="s">
        <v>38</v>
      </c>
    </row>
    <row r="15" spans="1:30" ht="13.5" customHeight="1" x14ac:dyDescent="0.2">
      <c r="A15" s="7" t="s">
        <v>14</v>
      </c>
      <c r="B15" s="7" t="s">
        <v>110</v>
      </c>
      <c r="C15" s="7" t="s">
        <v>110</v>
      </c>
      <c r="D15" s="7" t="s">
        <v>110</v>
      </c>
      <c r="E15" s="7" t="s">
        <v>39</v>
      </c>
      <c r="F15" s="7" t="s">
        <v>39</v>
      </c>
      <c r="G15" s="7" t="s">
        <v>110</v>
      </c>
      <c r="H15" s="7" t="s">
        <v>110</v>
      </c>
      <c r="I15" s="7" t="s">
        <v>39</v>
      </c>
      <c r="J15" s="7" t="s">
        <v>110</v>
      </c>
      <c r="K15" s="7" t="s">
        <v>110</v>
      </c>
      <c r="L15" s="7" t="s">
        <v>110</v>
      </c>
      <c r="M15" s="7" t="s">
        <v>110</v>
      </c>
      <c r="N15" s="7" t="s">
        <v>110</v>
      </c>
      <c r="O15" s="7" t="s">
        <v>110</v>
      </c>
      <c r="P15" s="7" t="s">
        <v>110</v>
      </c>
      <c r="Q15" s="7" t="s">
        <v>110</v>
      </c>
      <c r="R15" s="7" t="s">
        <v>110</v>
      </c>
      <c r="S15" s="7" t="s">
        <v>110</v>
      </c>
      <c r="T15" s="7" t="s">
        <v>39</v>
      </c>
      <c r="U15" s="7" t="s">
        <v>110</v>
      </c>
      <c r="V15" s="7" t="s">
        <v>110</v>
      </c>
      <c r="W15" s="7" t="s">
        <v>110</v>
      </c>
      <c r="X15" s="7" t="s">
        <v>110</v>
      </c>
      <c r="Y15" s="7" t="s">
        <v>110</v>
      </c>
      <c r="Z15" s="7" t="s">
        <v>110</v>
      </c>
      <c r="AA15" s="7" t="s">
        <v>110</v>
      </c>
      <c r="AB15" s="7" t="s">
        <v>110</v>
      </c>
      <c r="AC15" s="7" t="s">
        <v>110</v>
      </c>
      <c r="AD15" s="7" t="s">
        <v>110</v>
      </c>
    </row>
    <row r="16" spans="1:30" ht="13.5" customHeight="1" x14ac:dyDescent="0.2">
      <c r="A16" s="7" t="s">
        <v>15</v>
      </c>
      <c r="B16" s="7" t="s">
        <v>145</v>
      </c>
      <c r="C16" s="7" t="s">
        <v>146</v>
      </c>
      <c r="D16" s="7" t="s">
        <v>40</v>
      </c>
      <c r="E16" s="7" t="s">
        <v>46</v>
      </c>
      <c r="F16" s="7" t="s">
        <v>46</v>
      </c>
      <c r="G16" s="7" t="s">
        <v>40</v>
      </c>
      <c r="H16" s="7" t="s">
        <v>147</v>
      </c>
      <c r="I16" s="7" t="s">
        <v>40</v>
      </c>
      <c r="J16" s="7" t="s">
        <v>52</v>
      </c>
      <c r="K16" s="7" t="s">
        <v>46</v>
      </c>
      <c r="L16" s="7" t="s">
        <v>52</v>
      </c>
      <c r="M16" s="7" t="s">
        <v>55</v>
      </c>
      <c r="N16" s="7" t="s">
        <v>147</v>
      </c>
      <c r="O16" s="7" t="s">
        <v>111</v>
      </c>
      <c r="P16" s="7" t="s">
        <v>55</v>
      </c>
      <c r="Q16" s="7" t="s">
        <v>40</v>
      </c>
      <c r="R16" s="7" t="s">
        <v>40</v>
      </c>
      <c r="S16" s="7" t="s">
        <v>40</v>
      </c>
      <c r="T16" s="7" t="s">
        <v>100</v>
      </c>
      <c r="U16" s="7" t="s">
        <v>55</v>
      </c>
      <c r="V16" s="7" t="s">
        <v>55</v>
      </c>
      <c r="W16" s="7" t="s">
        <v>40</v>
      </c>
      <c r="X16" s="7" t="s">
        <v>40</v>
      </c>
      <c r="Y16" s="7" t="s">
        <v>205</v>
      </c>
      <c r="Z16" s="7" t="s">
        <v>55</v>
      </c>
      <c r="AA16" s="7" t="s">
        <v>111</v>
      </c>
      <c r="AB16" s="7" t="s">
        <v>147</v>
      </c>
      <c r="AC16" s="7" t="s">
        <v>147</v>
      </c>
      <c r="AD16" s="7" t="s">
        <v>225</v>
      </c>
    </row>
    <row r="17" spans="1:30" ht="13.5" customHeight="1" x14ac:dyDescent="0.2">
      <c r="A17" s="11" t="s">
        <v>16</v>
      </c>
      <c r="B17" s="11" t="s">
        <v>112</v>
      </c>
      <c r="C17" s="11" t="s">
        <v>112</v>
      </c>
      <c r="D17" s="11" t="s">
        <v>112</v>
      </c>
      <c r="E17" s="11" t="s">
        <v>112</v>
      </c>
      <c r="F17" s="11" t="s">
        <v>112</v>
      </c>
      <c r="G17" s="11" t="s">
        <v>112</v>
      </c>
      <c r="H17" s="11" t="s">
        <v>112</v>
      </c>
      <c r="I17" s="11" t="s">
        <v>112</v>
      </c>
      <c r="J17" s="11" t="s">
        <v>112</v>
      </c>
      <c r="K17" s="11" t="s">
        <v>112</v>
      </c>
      <c r="L17" s="11" t="s">
        <v>112</v>
      </c>
      <c r="M17" s="11" t="s">
        <v>112</v>
      </c>
      <c r="N17" s="11" t="s">
        <v>112</v>
      </c>
      <c r="O17" s="11" t="s">
        <v>112</v>
      </c>
      <c r="P17" s="11" t="s">
        <v>112</v>
      </c>
      <c r="Q17" s="11" t="s">
        <v>112</v>
      </c>
      <c r="R17" s="11" t="s">
        <v>112</v>
      </c>
      <c r="S17" s="11" t="s">
        <v>112</v>
      </c>
      <c r="T17" s="11" t="s">
        <v>112</v>
      </c>
      <c r="U17" s="11" t="s">
        <v>112</v>
      </c>
      <c r="V17" s="11" t="s">
        <v>112</v>
      </c>
      <c r="W17" s="11" t="s">
        <v>112</v>
      </c>
      <c r="X17" s="11" t="s">
        <v>112</v>
      </c>
      <c r="Y17" s="11" t="s">
        <v>112</v>
      </c>
      <c r="Z17" s="11" t="s">
        <v>112</v>
      </c>
      <c r="AA17" s="11" t="s">
        <v>112</v>
      </c>
      <c r="AB17" s="11" t="s">
        <v>112</v>
      </c>
      <c r="AC17" s="11" t="s">
        <v>112</v>
      </c>
      <c r="AD17" s="11" t="s">
        <v>112</v>
      </c>
    </row>
    <row r="18" spans="1:30" ht="13.5" customHeight="1" x14ac:dyDescent="0.2">
      <c r="A18" s="7" t="s">
        <v>17</v>
      </c>
      <c r="B18" s="7" t="s">
        <v>47</v>
      </c>
      <c r="C18" s="7" t="s">
        <v>41</v>
      </c>
      <c r="D18" s="7" t="s">
        <v>148</v>
      </c>
      <c r="E18" s="7" t="s">
        <v>47</v>
      </c>
      <c r="F18" s="7" t="s">
        <v>47</v>
      </c>
      <c r="G18" s="7" t="s">
        <v>47</v>
      </c>
      <c r="H18" s="7" t="s">
        <v>47</v>
      </c>
      <c r="I18" s="7" t="s">
        <v>41</v>
      </c>
      <c r="J18" s="7" t="s">
        <v>47</v>
      </c>
      <c r="K18" s="7" t="s">
        <v>47</v>
      </c>
      <c r="L18" s="7" t="s">
        <v>41</v>
      </c>
      <c r="M18" s="7" t="s">
        <v>47</v>
      </c>
      <c r="N18" s="7" t="s">
        <v>47</v>
      </c>
      <c r="O18" s="7" t="s">
        <v>47</v>
      </c>
      <c r="P18" s="7" t="s">
        <v>47</v>
      </c>
      <c r="Q18" s="7" t="s">
        <v>47</v>
      </c>
      <c r="R18" s="7" t="s">
        <v>47</v>
      </c>
      <c r="S18" s="7" t="s">
        <v>47</v>
      </c>
      <c r="T18" s="7" t="s">
        <v>41</v>
      </c>
      <c r="U18" s="7" t="s">
        <v>47</v>
      </c>
      <c r="V18" s="7" t="s">
        <v>47</v>
      </c>
      <c r="W18" s="7" t="s">
        <v>41</v>
      </c>
      <c r="X18" s="7" t="s">
        <v>41</v>
      </c>
      <c r="Y18" s="7" t="s">
        <v>47</v>
      </c>
      <c r="Z18" s="7" t="s">
        <v>47</v>
      </c>
      <c r="AA18" s="7" t="s">
        <v>47</v>
      </c>
      <c r="AB18" s="7" t="s">
        <v>47</v>
      </c>
      <c r="AC18" s="7" t="s">
        <v>47</v>
      </c>
      <c r="AD18" s="7" t="s">
        <v>47</v>
      </c>
    </row>
    <row r="19" spans="1:30" ht="13.5" customHeight="1" x14ac:dyDescent="0.2">
      <c r="A19" s="7" t="s">
        <v>53</v>
      </c>
      <c r="B19" s="8" t="str">
        <f>TEXT(CONVERT(1,"in","cm"),"#.00") &amp; " / 1.0"</f>
        <v>2.54 / 1.0</v>
      </c>
      <c r="C19" s="8" t="str">
        <f>TEXT(CONVERT(1,"in","cm"),"#.00") &amp; " / 1.0"</f>
        <v>2.54 / 1.0</v>
      </c>
      <c r="D19" s="8" t="str">
        <f>TEXT(CONVERT(1,"in","cm"),"#.00") &amp; " / 1.0"</f>
        <v>2.54 / 1.0</v>
      </c>
      <c r="E19" s="8" t="str">
        <f>TEXT(CONVERT(1.25,"in","cm"),"#.00") &amp; " / 1.25"</f>
        <v>3.18 / 1.25</v>
      </c>
      <c r="F19" s="8" t="str">
        <f>TEXT(CONVERT(1.6,"in","cm"),"#.00") &amp; " / 1.6"</f>
        <v>4.06 / 1.6</v>
      </c>
      <c r="G19" s="8" t="str">
        <f>TEXT(CONVERT(0.85,"in","cm"),"#.00") &amp; " / 0.85"</f>
        <v>2.16 / 0.85</v>
      </c>
      <c r="H19" s="8" t="str">
        <f>TEXT(CONVERT(0.875,"in","cm"),"#.00") &amp; " / .875"</f>
        <v>2.22 / .875</v>
      </c>
      <c r="I19" s="8" t="str">
        <f>TEXT(CONVERT(1,"in","cm"),"#.00") &amp; " / 1"</f>
        <v>2.54 / 1</v>
      </c>
      <c r="J19" s="8" t="str">
        <f>TEXT(CONVERT(1.5,"in","cm"),"#.00") &amp; " / 1.5"</f>
        <v>3.81 / 1.5</v>
      </c>
      <c r="K19" s="8" t="str">
        <f>TEXT(CONVERT(1.5,"in","cm"),"#.00") &amp; " / 1.5"</f>
        <v>3.81 / 1.5</v>
      </c>
      <c r="L19" s="8" t="str">
        <f>TEXT(CONVERT(1.25,"in","cm"),"#.00") &amp; " / 1.25"</f>
        <v>3.18 / 1.25</v>
      </c>
      <c r="M19" s="8" t="str">
        <f>TEXT(CONVERT(0.75,"in","cm"),"#.00") &amp; " / 0.75"</f>
        <v>1.91 / 0.75</v>
      </c>
      <c r="N19" s="8" t="str">
        <f>TEXT(CONVERT(0.375,"in","cm"),"#.00") &amp; " / 0.375"</f>
        <v>.95 / 0.375</v>
      </c>
      <c r="O19" s="8" t="str">
        <f>TEXT(CONVERT(1,"in","cm"),"#.00") &amp; " / 1.0"</f>
        <v>2.54 / 1.0</v>
      </c>
      <c r="P19" s="8" t="str">
        <f>TEXT(CONVERT(1.25,"in","cm"),"#.00") &amp; " / 1.25"</f>
        <v>3.18 / 1.25</v>
      </c>
      <c r="Q19" s="8" t="str">
        <f>TEXT(CONVERT(1.75,"in","cm"),"#.00") &amp; " / 1.75"</f>
        <v>4.45 / 1.75</v>
      </c>
      <c r="R19" s="8" t="str">
        <f>TEXT(CONVERT(1.75,"in","cm"),"#.00") &amp; " / 1.75"</f>
        <v>4.45 / 1.75</v>
      </c>
      <c r="S19" s="8" t="str">
        <f>TEXT(CONVERT(1.75,"in","cm"),"#.00") &amp; " / 1.75"</f>
        <v>4.45 / 1.75</v>
      </c>
      <c r="T19" s="8" t="str">
        <f>TEXT(CONVERT(1,"in","cm"),"#.00") &amp; " / 1.0"</f>
        <v>2.54 / 1.0</v>
      </c>
      <c r="U19" s="8" t="str">
        <f>TEXT(CONVERT(0.375,"in","cm"),"#.00") &amp; " / 0.375"</f>
        <v>.95 / 0.375</v>
      </c>
      <c r="V19" s="8" t="str">
        <f>TEXT(CONVERT(0.25,"in","cm"),"#.00") &amp; " / 0.25"</f>
        <v>.64 / 0.25</v>
      </c>
      <c r="W19" s="8" t="str">
        <f>TEXT(CONVERT(0.75,"in","cm"),"#.00") &amp; " / 0.75"</f>
        <v>1.91 / 0.75</v>
      </c>
      <c r="X19" s="8" t="str">
        <f>TEXT(CONVERT(1,"in","cm"),"#.00") &amp; " / 1.0"</f>
        <v>2.54 / 1.0</v>
      </c>
      <c r="Y19" s="8" t="str">
        <f>TEXT(CONVERT(1.25,"in","cm"),"#.00") &amp; " / 1.25"</f>
        <v>3.18 / 1.25</v>
      </c>
      <c r="Z19" s="8" t="str">
        <f>TEXT(CONVERT(1,"in","cm"),"#.00") &amp; " / 1"</f>
        <v>2.54 / 1</v>
      </c>
      <c r="AA19" s="8" t="str">
        <f>TEXT(CONVERT(0.625,"in","cm"),"#.00") &amp; " / 0.625"</f>
        <v>1.59 / 0.625</v>
      </c>
      <c r="AB19" s="8" t="str">
        <f>TEXT(CONVERT(0.75,"in","cm"),"#.00") &amp; " / 0.75"</f>
        <v>1.91 / 0.75</v>
      </c>
      <c r="AC19" s="8" t="str">
        <f>TEXT(CONVERT(0.75,"in","cm"),"#.00") &amp; " / 0.75"</f>
        <v>1.91 / 0.75</v>
      </c>
      <c r="AD19" s="8" t="str">
        <f>TEXT(CONVERT(0.75,"in","cm"),"#.00") &amp; " / 0.75"</f>
        <v>1.91 / 0.75</v>
      </c>
    </row>
    <row r="20" spans="1:30" ht="13.5" customHeight="1" x14ac:dyDescent="0.2">
      <c r="A20" s="11" t="s">
        <v>18</v>
      </c>
      <c r="B20" s="11" t="s">
        <v>51</v>
      </c>
      <c r="C20" s="11" t="s">
        <v>51</v>
      </c>
      <c r="D20" s="11" t="s">
        <v>51</v>
      </c>
      <c r="E20" s="11" t="s">
        <v>42</v>
      </c>
      <c r="F20" s="11" t="s">
        <v>51</v>
      </c>
      <c r="G20" s="11" t="s">
        <v>51</v>
      </c>
      <c r="H20" s="11" t="s">
        <v>51</v>
      </c>
      <c r="I20" s="11" t="s">
        <v>51</v>
      </c>
      <c r="J20" s="11" t="s">
        <v>42</v>
      </c>
      <c r="K20" s="11" t="s">
        <v>42</v>
      </c>
      <c r="L20" s="11" t="s">
        <v>51</v>
      </c>
      <c r="M20" s="11" t="s">
        <v>42</v>
      </c>
      <c r="N20" s="11" t="s">
        <v>42</v>
      </c>
      <c r="O20" s="11" t="s">
        <v>42</v>
      </c>
      <c r="P20" s="11" t="s">
        <v>42</v>
      </c>
      <c r="Q20" s="11" t="s">
        <v>51</v>
      </c>
      <c r="R20" s="11" t="s">
        <v>51</v>
      </c>
      <c r="S20" s="11" t="s">
        <v>51</v>
      </c>
      <c r="T20" s="11" t="s">
        <v>51</v>
      </c>
      <c r="U20" s="11" t="s">
        <v>51</v>
      </c>
      <c r="V20" s="11" t="s">
        <v>51</v>
      </c>
      <c r="W20" s="11" t="s">
        <v>51</v>
      </c>
      <c r="X20" s="11" t="s">
        <v>42</v>
      </c>
      <c r="Y20" s="11" t="s">
        <v>42</v>
      </c>
      <c r="Z20" s="11" t="s">
        <v>51</v>
      </c>
      <c r="AA20" s="11" t="s">
        <v>42</v>
      </c>
      <c r="AB20" s="11" t="s">
        <v>42</v>
      </c>
      <c r="AC20" s="11" t="s">
        <v>42</v>
      </c>
      <c r="AD20" s="11" t="s">
        <v>42</v>
      </c>
    </row>
    <row r="21" spans="1:30" ht="13.5" customHeight="1" x14ac:dyDescent="0.2">
      <c r="A21" s="7" t="s">
        <v>19</v>
      </c>
      <c r="B21" s="7" t="s">
        <v>48</v>
      </c>
      <c r="C21" s="7" t="s">
        <v>48</v>
      </c>
      <c r="D21" s="7" t="s">
        <v>43</v>
      </c>
      <c r="E21" s="7" t="s">
        <v>48</v>
      </c>
      <c r="F21" s="7" t="s">
        <v>43</v>
      </c>
      <c r="G21" s="7" t="s">
        <v>48</v>
      </c>
      <c r="H21" s="7" t="s">
        <v>48</v>
      </c>
      <c r="I21" s="7" t="s">
        <v>48</v>
      </c>
      <c r="J21" s="7" t="s">
        <v>43</v>
      </c>
      <c r="K21" s="7" t="s">
        <v>43</v>
      </c>
      <c r="L21" s="7" t="s">
        <v>48</v>
      </c>
      <c r="M21" s="7" t="s">
        <v>43</v>
      </c>
      <c r="N21" s="7" t="s">
        <v>43</v>
      </c>
      <c r="O21" s="7" t="s">
        <v>43</v>
      </c>
      <c r="P21" s="7" t="s">
        <v>43</v>
      </c>
      <c r="Q21" s="7" t="s">
        <v>43</v>
      </c>
      <c r="R21" s="7" t="s">
        <v>43</v>
      </c>
      <c r="S21" s="7" t="s">
        <v>43</v>
      </c>
      <c r="T21" s="7" t="s">
        <v>48</v>
      </c>
      <c r="U21" s="7" t="s">
        <v>48</v>
      </c>
      <c r="V21" s="7" t="s">
        <v>48</v>
      </c>
      <c r="W21" s="7" t="s">
        <v>48</v>
      </c>
      <c r="X21" s="7" t="s">
        <v>43</v>
      </c>
      <c r="Y21" s="7" t="s">
        <v>43</v>
      </c>
      <c r="Z21" s="7" t="s">
        <v>48</v>
      </c>
      <c r="AA21" s="7" t="s">
        <v>43</v>
      </c>
      <c r="AB21" s="7" t="s">
        <v>43</v>
      </c>
      <c r="AC21" s="7" t="s">
        <v>222</v>
      </c>
      <c r="AD21" s="7" t="s">
        <v>43</v>
      </c>
    </row>
    <row r="22" spans="1:30" ht="13.5" customHeight="1" x14ac:dyDescent="0.2">
      <c r="A22" s="7" t="s">
        <v>20</v>
      </c>
      <c r="B22" s="7"/>
      <c r="C22" s="7"/>
      <c r="D22" s="7"/>
      <c r="E22" s="7"/>
      <c r="F22" s="7"/>
      <c r="G22" s="12"/>
      <c r="H22" s="13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13"/>
      <c r="W22" s="7"/>
      <c r="X22" s="7"/>
      <c r="Y22" s="7"/>
      <c r="Z22" s="7"/>
      <c r="AA22" s="7"/>
      <c r="AB22" s="7"/>
      <c r="AC22" s="7"/>
      <c r="AD22" s="7"/>
    </row>
    <row r="23" spans="1:30" ht="13.5" customHeight="1" x14ac:dyDescent="0.2">
      <c r="A23" s="14" t="s">
        <v>230</v>
      </c>
      <c r="B23" s="15" t="s">
        <v>149</v>
      </c>
      <c r="C23" s="15" t="s">
        <v>150</v>
      </c>
      <c r="D23" s="15" t="s">
        <v>151</v>
      </c>
      <c r="E23" s="15" t="s">
        <v>39</v>
      </c>
      <c r="F23" s="15" t="s">
        <v>50</v>
      </c>
      <c r="G23" s="15" t="s">
        <v>54</v>
      </c>
      <c r="H23" s="15" t="s">
        <v>152</v>
      </c>
      <c r="I23" s="15" t="s">
        <v>56</v>
      </c>
      <c r="J23" s="15" t="s">
        <v>50</v>
      </c>
      <c r="K23" s="15" t="s">
        <v>170</v>
      </c>
      <c r="L23" s="24" t="s">
        <v>95</v>
      </c>
      <c r="M23" s="15" t="s">
        <v>171</v>
      </c>
      <c r="N23" s="15" t="s">
        <v>173</v>
      </c>
      <c r="O23" s="15" t="s">
        <v>113</v>
      </c>
      <c r="P23" s="15" t="s">
        <v>59</v>
      </c>
      <c r="Q23" s="15" t="s">
        <v>180</v>
      </c>
      <c r="R23" s="15" t="s">
        <v>180</v>
      </c>
      <c r="S23" s="15" t="s">
        <v>180</v>
      </c>
      <c r="T23" s="15" t="s">
        <v>101</v>
      </c>
      <c r="U23" s="15" t="s">
        <v>187</v>
      </c>
      <c r="V23" s="15" t="s">
        <v>197</v>
      </c>
      <c r="W23" s="15" t="s">
        <v>199</v>
      </c>
      <c r="X23" s="15" t="s">
        <v>203</v>
      </c>
      <c r="Y23" s="15" t="s">
        <v>206</v>
      </c>
      <c r="Z23" s="15" t="s">
        <v>214</v>
      </c>
      <c r="AA23" s="15" t="s">
        <v>216</v>
      </c>
      <c r="AB23" s="15" t="s">
        <v>214</v>
      </c>
      <c r="AC23" s="15" t="s">
        <v>214</v>
      </c>
      <c r="AD23" s="15" t="s">
        <v>214</v>
      </c>
    </row>
    <row r="24" spans="1:30" ht="13.5" customHeight="1" x14ac:dyDescent="0.2">
      <c r="A24" s="5" t="s">
        <v>21</v>
      </c>
      <c r="B24" s="8" t="s">
        <v>49</v>
      </c>
      <c r="C24" s="8" t="s">
        <v>49</v>
      </c>
      <c r="D24" s="8" t="s">
        <v>49</v>
      </c>
      <c r="E24" s="8" t="s">
        <v>49</v>
      </c>
      <c r="F24" s="8" t="s">
        <v>49</v>
      </c>
      <c r="G24" s="8" t="s">
        <v>49</v>
      </c>
      <c r="H24" s="8" t="s">
        <v>49</v>
      </c>
      <c r="I24" s="8" t="s">
        <v>49</v>
      </c>
      <c r="J24" s="8" t="s">
        <v>49</v>
      </c>
      <c r="K24" s="8">
        <v>3.75</v>
      </c>
      <c r="L24" s="8" t="s">
        <v>49</v>
      </c>
      <c r="M24" s="8">
        <v>3.75</v>
      </c>
      <c r="N24" s="7">
        <f>15/8</f>
        <v>1.875</v>
      </c>
      <c r="O24" s="31">
        <v>3.75</v>
      </c>
      <c r="P24" s="8"/>
      <c r="Q24" s="8" t="s">
        <v>49</v>
      </c>
      <c r="R24" s="8" t="s">
        <v>49</v>
      </c>
      <c r="S24" s="8" t="s">
        <v>49</v>
      </c>
      <c r="T24" s="8" t="s">
        <v>77</v>
      </c>
      <c r="U24" s="8" t="s">
        <v>49</v>
      </c>
      <c r="V24" s="35" t="s">
        <v>77</v>
      </c>
      <c r="W24" s="8" t="s">
        <v>49</v>
      </c>
      <c r="X24" s="8" t="s">
        <v>49</v>
      </c>
      <c r="Y24" s="8" t="s">
        <v>49</v>
      </c>
      <c r="Z24" s="8" t="s">
        <v>49</v>
      </c>
      <c r="AA24" s="8" t="s">
        <v>49</v>
      </c>
      <c r="AB24" s="8" t="s">
        <v>49</v>
      </c>
      <c r="AC24" s="8" t="s">
        <v>49</v>
      </c>
      <c r="AD24" s="8" t="s">
        <v>49</v>
      </c>
    </row>
    <row r="25" spans="1:30" ht="13.5" customHeight="1" x14ac:dyDescent="0.2">
      <c r="A25" s="5" t="s">
        <v>22</v>
      </c>
      <c r="B25" s="7"/>
      <c r="C25" s="7"/>
      <c r="D25" s="7"/>
      <c r="E25" s="7"/>
      <c r="F25" s="7"/>
      <c r="G25" s="7"/>
      <c r="H25" s="7"/>
      <c r="I25" s="7" t="s">
        <v>71</v>
      </c>
      <c r="J25" s="7" t="s">
        <v>62</v>
      </c>
      <c r="K25" s="7"/>
      <c r="L25" s="7" t="s">
        <v>96</v>
      </c>
      <c r="M25" s="7"/>
      <c r="N25" s="7" t="s">
        <v>174</v>
      </c>
      <c r="O25" s="7" t="s">
        <v>71</v>
      </c>
      <c r="P25" s="7" t="s">
        <v>61</v>
      </c>
      <c r="Q25" s="7"/>
      <c r="R25" s="7"/>
      <c r="S25" s="7"/>
      <c r="T25" s="7" t="s">
        <v>102</v>
      </c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 ht="13.5" customHeight="1" x14ac:dyDescent="0.2">
      <c r="A26" s="10" t="s">
        <v>23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 t="s">
        <v>97</v>
      </c>
      <c r="M26" s="11"/>
      <c r="N26" s="11" t="s">
        <v>175</v>
      </c>
      <c r="O26" s="11"/>
      <c r="P26" s="11"/>
      <c r="Q26" s="11"/>
      <c r="R26" s="11"/>
      <c r="S26" s="11"/>
      <c r="T26" s="11" t="s">
        <v>103</v>
      </c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0" ht="13.5" customHeight="1" x14ac:dyDescent="0.2">
      <c r="A27" s="10" t="s">
        <v>27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</row>
    <row r="28" spans="1:30" s="21" customFormat="1" ht="181.5" customHeight="1" x14ac:dyDescent="0.2">
      <c r="A28" s="16" t="s">
        <v>90</v>
      </c>
      <c r="B28" s="25" t="s">
        <v>137</v>
      </c>
      <c r="C28" s="17" t="s">
        <v>159</v>
      </c>
      <c r="D28" s="17" t="s">
        <v>155</v>
      </c>
      <c r="E28" s="17" t="s">
        <v>63</v>
      </c>
      <c r="F28" s="17" t="s">
        <v>64</v>
      </c>
      <c r="G28" s="17" t="s">
        <v>65</v>
      </c>
      <c r="H28" s="17" t="s">
        <v>138</v>
      </c>
      <c r="I28" s="19" t="s">
        <v>66</v>
      </c>
      <c r="J28" s="17" t="s">
        <v>67</v>
      </c>
      <c r="K28" s="17" t="s">
        <v>163</v>
      </c>
      <c r="L28" s="17" t="s">
        <v>98</v>
      </c>
      <c r="M28" s="17" t="s">
        <v>164</v>
      </c>
      <c r="N28" s="17" t="s">
        <v>165</v>
      </c>
      <c r="O28" s="17" t="s">
        <v>114</v>
      </c>
      <c r="P28" s="17" t="s">
        <v>68</v>
      </c>
      <c r="Q28" s="17" t="s">
        <v>184</v>
      </c>
      <c r="R28" s="17" t="s">
        <v>178</v>
      </c>
      <c r="S28" s="17" t="s">
        <v>179</v>
      </c>
      <c r="T28" s="17" t="s">
        <v>104</v>
      </c>
      <c r="U28" s="17" t="s">
        <v>188</v>
      </c>
      <c r="V28" s="17" t="s">
        <v>189</v>
      </c>
      <c r="W28" s="17" t="s">
        <v>190</v>
      </c>
      <c r="X28" s="17" t="s">
        <v>191</v>
      </c>
      <c r="Y28" s="17" t="s">
        <v>192</v>
      </c>
      <c r="Z28" s="17" t="s">
        <v>207</v>
      </c>
      <c r="AA28" s="17" t="s">
        <v>219</v>
      </c>
      <c r="AB28" s="17" t="s">
        <v>208</v>
      </c>
      <c r="AC28" s="17" t="s">
        <v>209</v>
      </c>
      <c r="AD28" s="17" t="s">
        <v>210</v>
      </c>
    </row>
    <row r="29" spans="1:30" x14ac:dyDescent="0.2">
      <c r="A29" s="18" t="s">
        <v>69</v>
      </c>
      <c r="B29" s="12"/>
      <c r="C29" s="7"/>
      <c r="D29" s="7" t="s">
        <v>156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1:30" s="30" customFormat="1" x14ac:dyDescent="0.2">
      <c r="A30" s="29" t="s">
        <v>76</v>
      </c>
      <c r="B30" s="33" t="s">
        <v>153</v>
      </c>
      <c r="C30" s="33" t="s">
        <v>153</v>
      </c>
      <c r="D30" s="33" t="s">
        <v>153</v>
      </c>
      <c r="E30" s="33" t="s">
        <v>153</v>
      </c>
      <c r="F30" s="33" t="s">
        <v>153</v>
      </c>
      <c r="G30" s="33" t="s">
        <v>153</v>
      </c>
      <c r="H30" s="33" t="s">
        <v>153</v>
      </c>
      <c r="I30" s="33" t="s">
        <v>153</v>
      </c>
      <c r="J30" s="33" t="s">
        <v>153</v>
      </c>
      <c r="K30" s="33" t="s">
        <v>153</v>
      </c>
      <c r="L30" s="33" t="s">
        <v>153</v>
      </c>
      <c r="M30" s="33" t="s">
        <v>153</v>
      </c>
      <c r="N30" s="33" t="s">
        <v>153</v>
      </c>
      <c r="O30" s="33" t="s">
        <v>153</v>
      </c>
      <c r="P30" s="33" t="s">
        <v>153</v>
      </c>
      <c r="Q30" s="33" t="s">
        <v>153</v>
      </c>
      <c r="R30" s="34" t="s">
        <v>154</v>
      </c>
      <c r="S30" s="34" t="s">
        <v>154</v>
      </c>
      <c r="T30" s="34" t="s">
        <v>153</v>
      </c>
      <c r="U30" s="34" t="s">
        <v>153</v>
      </c>
      <c r="V30" s="34" t="s">
        <v>153</v>
      </c>
      <c r="W30" s="34" t="s">
        <v>153</v>
      </c>
      <c r="X30" s="34" t="s">
        <v>153</v>
      </c>
      <c r="Y30" s="34" t="s">
        <v>153</v>
      </c>
      <c r="Z30" s="34" t="s">
        <v>153</v>
      </c>
      <c r="AA30" s="34" t="s">
        <v>153</v>
      </c>
      <c r="AB30" s="34" t="s">
        <v>153</v>
      </c>
      <c r="AC30" s="34" t="s">
        <v>153</v>
      </c>
      <c r="AD30" s="34" t="s">
        <v>153</v>
      </c>
    </row>
    <row r="31" spans="1:30" s="30" customFormat="1" x14ac:dyDescent="0.2">
      <c r="A31" s="29" t="s">
        <v>75</v>
      </c>
      <c r="B31" s="33" t="s">
        <v>136</v>
      </c>
      <c r="C31" s="34" t="s">
        <v>136</v>
      </c>
      <c r="D31" s="34" t="s">
        <v>136</v>
      </c>
      <c r="E31" s="34" t="s">
        <v>157</v>
      </c>
      <c r="F31" s="34" t="s">
        <v>157</v>
      </c>
      <c r="G31" s="34" t="s">
        <v>158</v>
      </c>
      <c r="H31" s="34" t="s">
        <v>139</v>
      </c>
      <c r="I31" s="34" t="s">
        <v>227</v>
      </c>
      <c r="J31" s="34" t="s">
        <v>158</v>
      </c>
      <c r="K31" s="34" t="s">
        <v>158</v>
      </c>
      <c r="L31" s="34" t="s">
        <v>158</v>
      </c>
      <c r="M31" s="34" t="s">
        <v>162</v>
      </c>
      <c r="N31" s="34" t="s">
        <v>158</v>
      </c>
      <c r="O31" s="34" t="s">
        <v>226</v>
      </c>
      <c r="P31" s="34" t="s">
        <v>228</v>
      </c>
      <c r="Q31" s="34" t="s">
        <v>157</v>
      </c>
      <c r="R31" s="34" t="s">
        <v>177</v>
      </c>
      <c r="S31" s="34" t="s">
        <v>177</v>
      </c>
      <c r="T31" s="34" t="s">
        <v>158</v>
      </c>
      <c r="U31" s="34" t="s">
        <v>185</v>
      </c>
      <c r="V31" s="34" t="s">
        <v>186</v>
      </c>
      <c r="W31" s="34" t="s">
        <v>157</v>
      </c>
      <c r="X31" s="34" t="s">
        <v>186</v>
      </c>
      <c r="Y31" s="34" t="s">
        <v>139</v>
      </c>
      <c r="Z31" s="34" t="s">
        <v>139</v>
      </c>
      <c r="AA31" s="34" t="s">
        <v>211</v>
      </c>
      <c r="AB31" s="34" t="s">
        <v>211</v>
      </c>
      <c r="AC31" s="34" t="s">
        <v>211</v>
      </c>
      <c r="AD31" s="34" t="s">
        <v>211</v>
      </c>
    </row>
    <row r="32" spans="1:30" x14ac:dyDescent="0.2">
      <c r="A32" s="7" t="s">
        <v>72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1:32" x14ac:dyDescent="0.2">
      <c r="A33" s="32" t="s">
        <v>120</v>
      </c>
      <c r="B33">
        <v>4</v>
      </c>
      <c r="C33">
        <v>4</v>
      </c>
      <c r="D33">
        <v>4</v>
      </c>
      <c r="E33">
        <v>8</v>
      </c>
      <c r="F33">
        <v>8</v>
      </c>
      <c r="G33">
        <v>16</v>
      </c>
      <c r="H33">
        <v>4</v>
      </c>
      <c r="I33">
        <v>16</v>
      </c>
      <c r="J33">
        <v>16</v>
      </c>
      <c r="K33">
        <v>4</v>
      </c>
      <c r="L33">
        <v>16</v>
      </c>
      <c r="M33">
        <v>4</v>
      </c>
      <c r="N33">
        <v>8</v>
      </c>
      <c r="O33">
        <v>8</v>
      </c>
      <c r="P33">
        <v>24</v>
      </c>
      <c r="Q33">
        <v>8</v>
      </c>
      <c r="R33">
        <v>4</v>
      </c>
      <c r="S33">
        <v>4</v>
      </c>
      <c r="T33">
        <v>16</v>
      </c>
      <c r="U33">
        <v>22</v>
      </c>
      <c r="V33">
        <v>8</v>
      </c>
      <c r="W33">
        <v>8</v>
      </c>
      <c r="X33">
        <v>4</v>
      </c>
      <c r="Y33">
        <v>8</v>
      </c>
      <c r="Z33">
        <v>8</v>
      </c>
      <c r="AA33">
        <v>4</v>
      </c>
      <c r="AB33">
        <v>4</v>
      </c>
      <c r="AC33">
        <v>4</v>
      </c>
      <c r="AD33">
        <v>4</v>
      </c>
      <c r="AE33">
        <f>SUM(B33:AD33)</f>
        <v>250</v>
      </c>
      <c r="AF33" t="s">
        <v>231</v>
      </c>
    </row>
    <row r="34" spans="1:32" x14ac:dyDescent="0.2">
      <c r="A34" s="32" t="s">
        <v>121</v>
      </c>
      <c r="B34">
        <v>8</v>
      </c>
      <c r="C34">
        <v>8</v>
      </c>
      <c r="D34">
        <v>8</v>
      </c>
      <c r="E34">
        <v>12</v>
      </c>
      <c r="F34">
        <v>12</v>
      </c>
      <c r="G34">
        <v>20</v>
      </c>
      <c r="H34">
        <v>8</v>
      </c>
      <c r="I34">
        <v>20</v>
      </c>
      <c r="J34">
        <v>20</v>
      </c>
      <c r="K34">
        <v>8</v>
      </c>
      <c r="L34">
        <v>20</v>
      </c>
      <c r="M34">
        <v>8</v>
      </c>
      <c r="N34">
        <v>12</v>
      </c>
      <c r="O34">
        <v>12</v>
      </c>
      <c r="P34">
        <v>30</v>
      </c>
      <c r="Q34">
        <v>12</v>
      </c>
      <c r="R34">
        <v>8</v>
      </c>
      <c r="S34">
        <v>8</v>
      </c>
      <c r="T34">
        <v>20</v>
      </c>
      <c r="U34">
        <v>30</v>
      </c>
      <c r="V34">
        <v>12</v>
      </c>
      <c r="W34">
        <v>12</v>
      </c>
      <c r="X34">
        <v>8</v>
      </c>
      <c r="Y34">
        <v>12</v>
      </c>
      <c r="Z34">
        <v>12</v>
      </c>
      <c r="AA34">
        <v>8</v>
      </c>
      <c r="AB34">
        <v>8</v>
      </c>
      <c r="AC34">
        <v>8</v>
      </c>
      <c r="AD34">
        <v>8</v>
      </c>
      <c r="AE34">
        <f>SUM(B34:AD34)</f>
        <v>372</v>
      </c>
      <c r="AF34">
        <f>AE34/48</f>
        <v>7.75</v>
      </c>
    </row>
    <row r="37" spans="1:32" x14ac:dyDescent="0.2">
      <c r="A37" t="str">
        <f>M$2</f>
        <v>Amarillo Parado</v>
      </c>
    </row>
    <row r="38" spans="1:32" x14ac:dyDescent="0.2">
      <c r="A38" t="str">
        <f>Y$2</f>
        <v>Brasil Dunkel</v>
      </c>
    </row>
    <row r="39" spans="1:32" x14ac:dyDescent="0.2">
      <c r="A39" t="str">
        <f>X$2</f>
        <v>Chichicaste (712)</v>
      </c>
    </row>
    <row r="40" spans="1:32" x14ac:dyDescent="0.2">
      <c r="A40" t="str">
        <f>D$2</f>
        <v>Colombian Garcia</v>
      </c>
    </row>
    <row r="41" spans="1:32" x14ac:dyDescent="0.2">
      <c r="A41" t="str">
        <f>O$2</f>
        <v>CT Broadleaf</v>
      </c>
    </row>
    <row r="42" spans="1:32" x14ac:dyDescent="0.2">
      <c r="A42" t="str">
        <f>N$2</f>
        <v>Cyprus Latakia mw</v>
      </c>
    </row>
    <row r="43" spans="1:32" x14ac:dyDescent="0.2">
      <c r="A43" t="str">
        <f>V$2</f>
        <v>Cyprus Oriental mw</v>
      </c>
    </row>
    <row r="44" spans="1:32" x14ac:dyDescent="0.2">
      <c r="A44" t="str">
        <f>U$2</f>
        <v>Djebel 174</v>
      </c>
    </row>
    <row r="45" spans="1:32" x14ac:dyDescent="0.2">
      <c r="A45" t="str">
        <f>G$2</f>
        <v>FL Sumatra</v>
      </c>
    </row>
    <row r="46" spans="1:32" x14ac:dyDescent="0.2">
      <c r="A46" t="str">
        <f>W$2</f>
        <v>Hacienda del Cura</v>
      </c>
    </row>
    <row r="47" spans="1:32" x14ac:dyDescent="0.2">
      <c r="A47" t="str">
        <f>E$2</f>
        <v>Harrow Velvet</v>
      </c>
    </row>
    <row r="48" spans="1:32" x14ac:dyDescent="0.2">
      <c r="A48" t="str">
        <f>Z$2</f>
        <v>Java Bezuki</v>
      </c>
    </row>
    <row r="49" spans="1:1" x14ac:dyDescent="0.2">
      <c r="A49" t="str">
        <f>P$2</f>
        <v>Little Dutch</v>
      </c>
    </row>
    <row r="50" spans="1:1" x14ac:dyDescent="0.2">
      <c r="A50" t="str">
        <f>K$2</f>
        <v>Long Red</v>
      </c>
    </row>
    <row r="51" spans="1:1" x14ac:dyDescent="0.2">
      <c r="A51" t="str">
        <f>I$2</f>
        <v>Macchu Picchu</v>
      </c>
    </row>
    <row r="52" spans="1:1" x14ac:dyDescent="0.2">
      <c r="A52" t="str">
        <f>B$2</f>
        <v>Magnolia</v>
      </c>
    </row>
    <row r="53" spans="1:1" x14ac:dyDescent="0.2">
      <c r="A53" t="str">
        <f>C$2</f>
        <v>Metacomet</v>
      </c>
    </row>
    <row r="54" spans="1:1" x14ac:dyDescent="0.2">
      <c r="A54" t="str">
        <f>J$2</f>
        <v>PA Red</v>
      </c>
    </row>
    <row r="55" spans="1:1" x14ac:dyDescent="0.2">
      <c r="A55" t="str">
        <f>R$2</f>
        <v>PA Swarr-Hibshman (GRIN)</v>
      </c>
    </row>
    <row r="56" spans="1:1" x14ac:dyDescent="0.2">
      <c r="A56" t="str">
        <f>Q$2</f>
        <v>PA Swarr-Hibshman (NP)</v>
      </c>
    </row>
    <row r="57" spans="1:1" x14ac:dyDescent="0.2">
      <c r="A57" t="str">
        <f>T$2</f>
        <v>Prilep P66-9/7</v>
      </c>
    </row>
    <row r="58" spans="1:1" x14ac:dyDescent="0.2">
      <c r="A58" t="str">
        <f>S$2</f>
        <v>Swarr-Hibshman (GRIN)</v>
      </c>
    </row>
    <row r="59" spans="1:1" x14ac:dyDescent="0.2">
      <c r="A59" t="str">
        <f>H$2</f>
        <v>Timor</v>
      </c>
    </row>
    <row r="60" spans="1:1" x14ac:dyDescent="0.2">
      <c r="A60" t="str">
        <f>F$2</f>
        <v>VA Bright</v>
      </c>
    </row>
    <row r="61" spans="1:1" x14ac:dyDescent="0.2">
      <c r="A61" t="str">
        <f>L$2</f>
        <v>Vuelta Abajo</v>
      </c>
    </row>
  </sheetData>
  <pageMargins left="0.45" right="0.45" top="1" bottom="1" header="0" footer="0"/>
  <pageSetup scale="76" fitToWidth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Dreamsplice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C.A. Goff</dc:creator>
  <cp:lastModifiedBy>Robert C.A. Goff</cp:lastModifiedBy>
  <cp:lastPrinted>2014-11-11T22:11:12Z</cp:lastPrinted>
  <dcterms:created xsi:type="dcterms:W3CDTF">2011-08-16T05:23:44Z</dcterms:created>
  <dcterms:modified xsi:type="dcterms:W3CDTF">2017-03-07T16:28:42Z</dcterms:modified>
</cp:coreProperties>
</file>